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4.xml" ContentType="application/vnd.openxmlformats-officedocument.drawing+xml"/>
  <Override PartName="/xl/ctrlProps/ctrlProp39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KRKA 2024\NSAIDs\"/>
    </mc:Choice>
  </mc:AlternateContent>
  <xr:revisionPtr revIDLastSave="0" documentId="13_ncr:1_{E82E9E47-7BBE-4253-8AB1-F5684AC652ED}" xr6:coauthVersionLast="47" xr6:coauthVersionMax="47" xr10:uidLastSave="{00000000-0000-0000-0000-000000000000}"/>
  <bookViews>
    <workbookView xWindow="-110" yWindow="-110" windowWidth="19420" windowHeight="11020" xr2:uid="{EF84EC40-78CE-454B-BE09-931C6D2AF116}"/>
  </bookViews>
  <sheets>
    <sheet name="Anamnesis" sheetId="1" r:id="rId1"/>
    <sheet name="Profile" sheetId="3" r:id="rId2"/>
    <sheet name="NSAIDs" sheetId="9" r:id="rId3"/>
    <sheet name="CV Risk" sheetId="4" state="hidden" r:id="rId4"/>
    <sheet name="GI Risk" sheetId="2" state="hidden" r:id="rId5"/>
    <sheet name="SCORE2-Diabetes" sheetId="5" state="hidden" r:id="rId6"/>
    <sheet name="calculator" sheetId="6" state="hidden" r:id="rId7"/>
    <sheet name="values" sheetId="7" state="hidden" r:id="rId8"/>
    <sheet name="CKD" sheetId="8" r:id="rId9"/>
    <sheet name="Sheet2" sheetId="10" state="hidden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3" l="1"/>
  <c r="P1" i="4" l="1"/>
  <c r="O22" i="9"/>
  <c r="O14" i="9"/>
  <c r="N30" i="9"/>
  <c r="N27" i="9"/>
  <c r="N26" i="9"/>
  <c r="N14" i="9"/>
  <c r="N11" i="9"/>
  <c r="N7" i="9"/>
  <c r="M33" i="9"/>
  <c r="M30" i="9"/>
  <c r="M27" i="9"/>
  <c r="M26" i="9"/>
  <c r="M25" i="9"/>
  <c r="M24" i="9"/>
  <c r="M22" i="9"/>
  <c r="M15" i="9"/>
  <c r="M14" i="9"/>
  <c r="M5" i="9"/>
  <c r="M4" i="9"/>
  <c r="L30" i="9"/>
  <c r="L27" i="9"/>
  <c r="L26" i="9"/>
  <c r="L14" i="9"/>
  <c r="L11" i="9"/>
  <c r="L7" i="9"/>
  <c r="K33" i="9"/>
  <c r="K31" i="9"/>
  <c r="K30" i="9"/>
  <c r="K28" i="9"/>
  <c r="K27" i="9"/>
  <c r="K26" i="9"/>
  <c r="K14" i="9"/>
  <c r="K11" i="9"/>
  <c r="K7" i="9"/>
  <c r="K5" i="9"/>
  <c r="J33" i="9"/>
  <c r="J31" i="9"/>
  <c r="J30" i="9"/>
  <c r="J28" i="9"/>
  <c r="J27" i="9"/>
  <c r="J26" i="9"/>
  <c r="J17" i="9"/>
  <c r="J14" i="9"/>
  <c r="J12" i="9"/>
  <c r="J6" i="9"/>
  <c r="I33" i="9"/>
  <c r="I31" i="9"/>
  <c r="I30" i="9"/>
  <c r="I28" i="9"/>
  <c r="I27" i="9"/>
  <c r="I26" i="9"/>
  <c r="I25" i="9"/>
  <c r="I24" i="9"/>
  <c r="I22" i="9"/>
  <c r="I21" i="9"/>
  <c r="I20" i="9"/>
  <c r="I18" i="9"/>
  <c r="I17" i="9"/>
  <c r="I14" i="9"/>
  <c r="I12" i="9"/>
  <c r="I11" i="9"/>
  <c r="I10" i="9"/>
  <c r="I7" i="9"/>
  <c r="I6" i="9"/>
  <c r="I5" i="9"/>
  <c r="I4" i="9"/>
  <c r="H28" i="9"/>
  <c r="H27" i="9"/>
  <c r="H26" i="9"/>
  <c r="H25" i="9"/>
  <c r="H24" i="9"/>
  <c r="H22" i="9"/>
  <c r="H21" i="9"/>
  <c r="H20" i="9"/>
  <c r="H18" i="9"/>
  <c r="H17" i="9"/>
  <c r="H14" i="9"/>
  <c r="H12" i="9"/>
  <c r="H11" i="9"/>
  <c r="H10" i="9"/>
  <c r="H7" i="9"/>
  <c r="H6" i="9"/>
  <c r="H5" i="9"/>
  <c r="H4" i="9"/>
  <c r="H3" i="9"/>
  <c r="G22" i="9"/>
  <c r="G20" i="9"/>
  <c r="F33" i="9"/>
  <c r="F27" i="9"/>
  <c r="F22" i="9"/>
  <c r="F14" i="9"/>
  <c r="F4" i="9"/>
  <c r="F3" i="9"/>
  <c r="E33" i="9"/>
  <c r="E31" i="9"/>
  <c r="E30" i="9"/>
  <c r="E27" i="9"/>
  <c r="E26" i="9"/>
  <c r="E25" i="9"/>
  <c r="E24" i="9"/>
  <c r="E15" i="9"/>
  <c r="E9" i="9"/>
  <c r="E6" i="9"/>
  <c r="E7" i="9"/>
  <c r="E5" i="9"/>
  <c r="E4" i="9"/>
  <c r="B5" i="7" l="1"/>
  <c r="B5" i="6"/>
  <c r="O18" i="8"/>
  <c r="B18" i="8"/>
  <c r="O48" i="8" s="1"/>
  <c r="N18" i="5"/>
  <c r="B10" i="6" s="1"/>
  <c r="B10" i="7" s="1"/>
  <c r="N16" i="5"/>
  <c r="B9" i="6" s="1"/>
  <c r="B9" i="7" s="1"/>
  <c r="N14" i="5"/>
  <c r="B8" i="6" s="1"/>
  <c r="B8" i="7" s="1"/>
  <c r="H16" i="5"/>
  <c r="B7" i="6" s="1"/>
  <c r="B7" i="7" s="1"/>
  <c r="P9" i="5"/>
  <c r="B6" i="6" s="1"/>
  <c r="B6" i="7" s="1"/>
  <c r="O6" i="5"/>
  <c r="O9" i="5" s="1"/>
  <c r="B3" i="6" s="1"/>
  <c r="F7" i="5"/>
  <c r="B4" i="6" s="1"/>
  <c r="B4" i="7" s="1"/>
  <c r="M20" i="8"/>
  <c r="G7" i="8"/>
  <c r="M4" i="8"/>
  <c r="I4" i="5"/>
  <c r="O52" i="8" l="1"/>
  <c r="D27" i="8"/>
  <c r="O51" i="8"/>
  <c r="O25" i="8"/>
  <c r="O26" i="8"/>
  <c r="O47" i="8"/>
  <c r="B4" i="8" l="1"/>
  <c r="B7" i="8" s="1"/>
  <c r="B24" i="8" s="1"/>
  <c r="C24" i="8" s="1"/>
  <c r="B16" i="1"/>
  <c r="D21" i="5" s="1"/>
  <c r="B11" i="6" s="1"/>
  <c r="B11" i="7" s="1"/>
  <c r="C11" i="7" s="1"/>
  <c r="C22" i="8"/>
  <c r="C10" i="7"/>
  <c r="C9" i="7"/>
  <c r="C8" i="7"/>
  <c r="C7" i="7"/>
  <c r="C5" i="7"/>
  <c r="C4" i="7"/>
  <c r="I11" i="8" l="1"/>
  <c r="D5" i="7"/>
  <c r="H5" i="7"/>
  <c r="D10" i="7"/>
  <c r="H8" i="7"/>
  <c r="D11" i="7"/>
  <c r="H10" i="7"/>
  <c r="D7" i="7"/>
  <c r="D8" i="7"/>
  <c r="H9" i="7"/>
  <c r="H7" i="7"/>
  <c r="D4" i="7"/>
  <c r="H11" i="7"/>
  <c r="H4" i="7"/>
  <c r="D9" i="7"/>
  <c r="D6" i="7" l="1"/>
  <c r="D12" i="7" s="1"/>
  <c r="D13" i="7" s="1"/>
  <c r="C6" i="7"/>
  <c r="H6" i="7" s="1"/>
  <c r="H12" i="7" s="1"/>
  <c r="H13" i="7" s="1"/>
  <c r="H17" i="7" l="1"/>
  <c r="H14" i="7"/>
  <c r="H16" i="7"/>
  <c r="H15" i="7"/>
  <c r="D17" i="7"/>
  <c r="B13" i="6" s="1"/>
  <c r="L21" i="5" s="1"/>
  <c r="H23" i="5" s="1"/>
  <c r="D14" i="7"/>
  <c r="D16" i="7"/>
  <c r="D15" i="7"/>
  <c r="A20" i="3" l="1"/>
  <c r="H24" i="5" l="1"/>
  <c r="C11" i="4" l="1"/>
  <c r="B9" i="4"/>
  <c r="A32" i="4" s="1"/>
  <c r="D15" i="4"/>
  <c r="C17" i="3" l="1"/>
  <c r="C15" i="3"/>
  <c r="J15" i="3" s="1"/>
  <c r="C13" i="3"/>
  <c r="J13" i="3" s="1"/>
  <c r="G10" i="3"/>
  <c r="G8" i="3"/>
  <c r="G6" i="3"/>
  <c r="I4" i="3"/>
  <c r="I18" i="2"/>
  <c r="I16" i="2"/>
  <c r="I14" i="2"/>
  <c r="I12" i="2"/>
  <c r="I10" i="2"/>
  <c r="I6" i="2"/>
  <c r="I4" i="2"/>
  <c r="G10" i="1"/>
  <c r="D13" i="4" s="1"/>
  <c r="N9" i="4" l="1"/>
  <c r="M9" i="4" s="1"/>
  <c r="N24" i="4"/>
  <c r="M24" i="4" s="1"/>
  <c r="N22" i="4"/>
  <c r="M22" i="4" s="1"/>
  <c r="J7" i="4"/>
  <c r="K7" i="4" s="1"/>
  <c r="J9" i="4"/>
  <c r="K9" i="4" s="1"/>
  <c r="A20" i="4"/>
  <c r="N7" i="4"/>
  <c r="M7" i="4" s="1"/>
  <c r="J26" i="4"/>
  <c r="K26" i="4" s="1"/>
  <c r="N11" i="4"/>
  <c r="M11" i="4" s="1"/>
  <c r="N20" i="4"/>
  <c r="J11" i="4"/>
  <c r="K11" i="4" s="1"/>
  <c r="N13" i="4"/>
  <c r="M13" i="4" s="1"/>
  <c r="J24" i="4"/>
  <c r="K24" i="4" s="1"/>
  <c r="A26" i="4"/>
  <c r="A18" i="4"/>
  <c r="J13" i="4"/>
  <c r="N26" i="4"/>
  <c r="M26" i="4" s="1"/>
  <c r="J22" i="4"/>
  <c r="K22" i="4" s="1"/>
  <c r="J20" i="4"/>
  <c r="I20" i="2"/>
  <c r="E28" i="3" l="1"/>
  <c r="I22" i="2"/>
  <c r="D30" i="3" s="1"/>
  <c r="K30" i="3" s="1"/>
  <c r="K20" i="4"/>
  <c r="A23" i="4"/>
  <c r="A21" i="4"/>
  <c r="K13" i="4"/>
  <c r="C32" i="4"/>
  <c r="M20" i="4"/>
  <c r="A27" i="4"/>
  <c r="A29" i="4"/>
  <c r="D32" i="4" l="1"/>
  <c r="C24" i="3" s="1"/>
  <c r="E22" i="3"/>
  <c r="K24" i="3" l="1"/>
  <c r="K25" i="3"/>
  <c r="A35" i="3" l="1"/>
  <c r="A40" i="3" s="1"/>
  <c r="O6" i="10"/>
  <c r="O23" i="10"/>
  <c r="O9" i="10"/>
  <c r="O15" i="10"/>
  <c r="O26" i="10"/>
  <c r="O32" i="10"/>
  <c r="O36" i="10"/>
  <c r="O2" i="10"/>
</calcChain>
</file>

<file path=xl/sharedStrings.xml><?xml version="1.0" encoding="utf-8"?>
<sst xmlns="http://schemas.openxmlformats.org/spreadsheetml/2006/main" count="652" uniqueCount="421">
  <si>
    <t>პაციენტის პროფილი</t>
  </si>
  <si>
    <t>პაციენტი</t>
  </si>
  <si>
    <t>ასაკი</t>
  </si>
  <si>
    <t>წელი</t>
  </si>
  <si>
    <t>სისტოლური წნევა</t>
  </si>
  <si>
    <t>mmHg</t>
  </si>
  <si>
    <t>ტოტალური ქოლესტეროლი</t>
  </si>
  <si>
    <t>მმოლ/ლ</t>
  </si>
  <si>
    <t>მაღალი სიმკვრივის ლიპოპროტეინის ქოლესტეროლი</t>
  </si>
  <si>
    <t>არამაღალი სიმკვრივის ლიპოპროტეინის ქოლესტეროლი</t>
  </si>
  <si>
    <t>მიმდინარე მწველი</t>
  </si>
  <si>
    <t>კი</t>
  </si>
  <si>
    <t>არა</t>
  </si>
  <si>
    <t>შაქრიანი დიაბეტი</t>
  </si>
  <si>
    <t>დიაბეტის ხანდაზმულობა</t>
  </si>
  <si>
    <t>eGFR</t>
  </si>
  <si>
    <t>HbA1c</t>
  </si>
  <si>
    <t>მმოლ/მოლ</t>
  </si>
  <si>
    <t>გასტროინტესტინური წყლულის ანამნეზი</t>
  </si>
  <si>
    <t>ანტიაგრეგანტი</t>
  </si>
  <si>
    <t>ანტიკოაგულანტი</t>
  </si>
  <si>
    <t>გლუკოკორტიკოსტეროიდი</t>
  </si>
  <si>
    <t>სეროტონინის უკუმიტაცების სელექციური ინჰიბიტორი</t>
  </si>
  <si>
    <t xml:space="preserve">ჰელიკობაქტერ პილორი ინფექცია </t>
  </si>
  <si>
    <t>კონკურენტული ფარმაკოთერაპია:</t>
  </si>
  <si>
    <t>სერტოტონინის უკუმიტაცების სელექტიური ინჰიბიტორი</t>
  </si>
  <si>
    <t>ტკივილი</t>
  </si>
  <si>
    <t>მწვავე ტკივილი</t>
  </si>
  <si>
    <t>მსუბუქი ან საშუალო ინტენსივობის ტკივილი</t>
  </si>
  <si>
    <t>ძლიერი ინტეტნსივობის ტკივილი</t>
  </si>
  <si>
    <t>ოსტეოართრიტი</t>
  </si>
  <si>
    <t>რევმატოიდული ართრიტი</t>
  </si>
  <si>
    <t>იუვენილური რევმატოიდული ართრიტი</t>
  </si>
  <si>
    <t>მაანკილოზებელი სპონდილიტი</t>
  </si>
  <si>
    <t>პოდაგრული ართრიტი</t>
  </si>
  <si>
    <t>პათოლოგია</t>
  </si>
  <si>
    <t>დისმენორეული ტკივილი</t>
  </si>
  <si>
    <t>მხრის ტკივილი</t>
  </si>
  <si>
    <t>ჰიპერთერმია</t>
  </si>
  <si>
    <t>მედიკამენტები</t>
  </si>
  <si>
    <t>ციკლოსპორინი</t>
  </si>
  <si>
    <t>დიურეტიკი</t>
  </si>
  <si>
    <t>სულფონილშარდოვანა</t>
  </si>
  <si>
    <t>მეთოტრექსატი</t>
  </si>
  <si>
    <t>ლითიუმი</t>
  </si>
  <si>
    <t>ბეტა-ბლოკერი</t>
  </si>
  <si>
    <t>დიგოქსინი</t>
  </si>
  <si>
    <t>ფენიტოინი</t>
  </si>
  <si>
    <t>კომორბიდობები</t>
  </si>
  <si>
    <t>ღვიძლის პათოლოგია</t>
  </si>
  <si>
    <t>თირკმლის დაავადება</t>
  </si>
  <si>
    <t>რესპირაციული პათოლოგია</t>
  </si>
  <si>
    <t>ნევროლოგიური პათოლოგია</t>
  </si>
  <si>
    <t>დერმატოლოგიური პათოლოგია</t>
  </si>
  <si>
    <t>იმუნური პათოლოგია</t>
  </si>
  <si>
    <t>რეპროდუქციული სისტემის პათოლოგია</t>
  </si>
  <si>
    <t xml:space="preserve">ანამნეზში პეპტიკური წყლული აგრთულებით ან გართულების გარეშე </t>
  </si>
  <si>
    <t>ასაკი &gt;60 წელი</t>
  </si>
  <si>
    <t>კოკნურენტული ფარმაკოთერაპია</t>
  </si>
  <si>
    <t>* ანტიაგრეგანტი</t>
  </si>
  <si>
    <t>* ანტიკოაგულანტი</t>
  </si>
  <si>
    <t>* გლუკოკორტიკოსტეროიდი</t>
  </si>
  <si>
    <t>* სეროტონინის უკუმიტაცების სელექციური ინჰიბიტორი</t>
  </si>
  <si>
    <t>ჰელიკობატქერ პილორი ინფექცია</t>
  </si>
  <si>
    <t>OR=4.6 95% CI 4.05-5.59)</t>
  </si>
  <si>
    <t>OR=5.52 95% CI 4.63-6.6)</t>
  </si>
  <si>
    <t>OR=7.4 95% CI 3.5-15)</t>
  </si>
  <si>
    <t>OR=9.7 95% CI 4.6-20.2)</t>
  </si>
  <si>
    <t>OR=1.83 95% CI 1.2-2.78)</t>
  </si>
  <si>
    <t>OR=12.2 95% CI 7.1-19.5)</t>
  </si>
  <si>
    <t>OR=6.13 95% CI 9.98-373)</t>
  </si>
  <si>
    <t>ანამნეზური მონაცემები</t>
  </si>
  <si>
    <t>თარიღი</t>
  </si>
  <si>
    <t>სქესი</t>
  </si>
  <si>
    <t>დიაგნოზი:</t>
  </si>
  <si>
    <t>ICD10 კოდი</t>
  </si>
  <si>
    <t>SCORE2 &amp; SCORE2-OP</t>
  </si>
  <si>
    <t>არამწეველი ქალი</t>
  </si>
  <si>
    <t>მწეველი ქალი</t>
  </si>
  <si>
    <t>არამწეველი კაცი</t>
  </si>
  <si>
    <t>მწეველი კაცი</t>
  </si>
  <si>
    <t>3.0-3.9</t>
  </si>
  <si>
    <t>4.0-4.9</t>
  </si>
  <si>
    <t>5.0-5.9</t>
  </si>
  <si>
    <t>6.0-6.9</t>
  </si>
  <si>
    <t xml:space="preserve">ფატალური და არაფატალური კარდიოვასკულური დაავადების 10-წლიანი რისკი </t>
  </si>
  <si>
    <t>85-89</t>
  </si>
  <si>
    <t>160-179</t>
  </si>
  <si>
    <t>კარდიოვასკულური დაავადების ძალიან მაღალი რისკის ქვეყნებისთვის (მათ შორის საქართველო)</t>
  </si>
  <si>
    <t>140-159</t>
  </si>
  <si>
    <t>120-139</t>
  </si>
  <si>
    <t>←</t>
  </si>
  <si>
    <t>110-119</t>
  </si>
  <si>
    <t>→</t>
  </si>
  <si>
    <t>80-84</t>
  </si>
  <si>
    <t>75-79</t>
  </si>
  <si>
    <t>არა-HDL ქოლესტეროლი</t>
  </si>
  <si>
    <t>მიმდინარე მწეველი</t>
  </si>
  <si>
    <t>70-74</t>
  </si>
  <si>
    <t>65-69</t>
  </si>
  <si>
    <t>60-64</t>
  </si>
  <si>
    <t>55-59</t>
  </si>
  <si>
    <t>50-54</t>
  </si>
  <si>
    <t>45-49</t>
  </si>
  <si>
    <t>40-44</t>
  </si>
  <si>
    <t>* სისტოლური წნევის სამიზნე მაჩვენებელი &lt;140 mmHg, ხოლო კარგი ამტანობის შემთხვევაში 130 mmHg</t>
  </si>
  <si>
    <t>* დაბალი სიმკვრივის ლიპოპროტეინის ქოლესტეროლის სამიზნე მაჩვენებელი &lt;2.6 მმოლ/ლ (100 მგ/დლ)</t>
  </si>
  <si>
    <t>* კარგი ამტანობის შემთხვევაში სისტოლური წნევის სამიზნე მაჩვენებელი &lt;130 mmHg</t>
  </si>
  <si>
    <t>* დაბალი სიმკვრივის ლიპოპროტეინის ქოლესტეროლის სამიზნე მაჩვენებელი &lt;1.8 მმოლ/ლ (70 მგ/დლ)</t>
  </si>
  <si>
    <t>* დაბალი სიმკვრივის ლიპოპროტეინის ქოლესტეროლის სამიზნე მაჩვენებელი &lt;1.5 მმოლ/ლ (55 მგ/დლ)</t>
  </si>
  <si>
    <t xml:space="preserve">* არ არის დამატებითი პრევენციული სამიზნე </t>
  </si>
  <si>
    <r>
      <t xml:space="preserve">* </t>
    </r>
    <r>
      <rPr>
        <sz val="11"/>
        <color theme="0"/>
        <rFont val="Calibri"/>
        <family val="2"/>
        <charset val="204"/>
      </rPr>
      <t>≥</t>
    </r>
    <r>
      <rPr>
        <sz val="8.8000000000000007"/>
        <color theme="0"/>
        <rFont val="Calibri"/>
        <family val="2"/>
        <charset val="204"/>
      </rPr>
      <t>70 წლის ინდივიდებისთვის დამახასიათებელი რისკ-ფაქტორების მართვა</t>
    </r>
  </si>
  <si>
    <t>გასტროინტესტინური სისხლდენის რისკი</t>
  </si>
  <si>
    <t>%</t>
  </si>
  <si>
    <t>SCORE2 და SCORE2-OP კალკულატორით გამოთვლილი ფატალური და არაფატალური კარდიოვასკულური დაავადების 10-წლიანი რისკი:</t>
  </si>
  <si>
    <t xml:space="preserve">SCORE2 Diabetes კალკულატორით გამოთვლილი ფატალური და არაფატალური კარდიოვასკულური დაავადების 10-წლიანი რისკი:  </t>
  </si>
  <si>
    <t>SCORE2-Diabetes calculator</t>
  </si>
  <si>
    <t>რისკის რეგიონის შეფასების მიზნით, აირჩიეთ ქვეყანა</t>
  </si>
  <si>
    <t>Low risk region</t>
  </si>
  <si>
    <t>Moderate risk region</t>
  </si>
  <si>
    <t>High risk region</t>
  </si>
  <si>
    <t xml:space="preserve">ასაკი: </t>
  </si>
  <si>
    <t>Very high risk region</t>
  </si>
  <si>
    <t xml:space="preserve">ვალიდური დიაპაზონი: 40-69 წელი </t>
  </si>
  <si>
    <t xml:space="preserve">დიაბეტის ხანდაზმულობა  დიაგნოზის მომენტისთვის: </t>
  </si>
  <si>
    <t>ვალიდური ხანდაზმულობა: 30 წელი</t>
  </si>
  <si>
    <t>არის თუ არა მწეველი?</t>
  </si>
  <si>
    <t>ტოტალური ქოლესტეროლი (მმოლ/ლ)</t>
  </si>
  <si>
    <t>ვალიდური დიაპაზონი: 3-10</t>
  </si>
  <si>
    <t>HDL ქოლესტეროლი (მმოლ/ლ)</t>
  </si>
  <si>
    <t>ვალიდური დიაპაზონი: 0.5-3</t>
  </si>
  <si>
    <t>ვალიდური დიაპაზონი: 10-200</t>
  </si>
  <si>
    <t>HbA1c (მმოლ/მოლ)</t>
  </si>
  <si>
    <t>ვალიდური დიაპაზონი: 1-150</t>
  </si>
  <si>
    <r>
      <t>მლ/წთ/1.73 მ</t>
    </r>
    <r>
      <rPr>
        <vertAlign val="superscript"/>
        <sz val="11"/>
        <color theme="1"/>
        <rFont val="Calibri"/>
        <family val="2"/>
      </rPr>
      <t>2</t>
    </r>
  </si>
  <si>
    <t>10-წლიანი კარდიოვასკულური რისკი</t>
  </si>
  <si>
    <t>ვალიდური დიაპაზონი: 15-120</t>
  </si>
  <si>
    <t>Albania</t>
  </si>
  <si>
    <t>ავსტრია</t>
  </si>
  <si>
    <t>ზომიერი რისკის რეგიონი</t>
  </si>
  <si>
    <t>Algeria</t>
  </si>
  <si>
    <t>აზერბაიჯანი</t>
  </si>
  <si>
    <t>ძალიან მაღალი რისკი</t>
  </si>
  <si>
    <t>Armenia</t>
  </si>
  <si>
    <t>ალბანეთი</t>
  </si>
  <si>
    <t>მაღალი რისკის რეგიონი</t>
  </si>
  <si>
    <t>Austria</t>
  </si>
  <si>
    <t>ალჟირი</t>
  </si>
  <si>
    <t>Azerbaijan</t>
  </si>
  <si>
    <t>ბელგია</t>
  </si>
  <si>
    <t>დაბალი რისკის რეგიონი</t>
  </si>
  <si>
    <t>Belarus</t>
  </si>
  <si>
    <t>ბელორუსი</t>
  </si>
  <si>
    <t>Belgium</t>
  </si>
  <si>
    <t>ბოსნია-ჰერცოგოვინა</t>
  </si>
  <si>
    <t>Bosnia and Herzegovina</t>
  </si>
  <si>
    <t>ბულგარეთი</t>
  </si>
  <si>
    <t>Bulgaria</t>
  </si>
  <si>
    <t>გაერთიანებული სამეფო</t>
  </si>
  <si>
    <t>Croatia</t>
  </si>
  <si>
    <t>გერმანია</t>
  </si>
  <si>
    <t>Cyprus</t>
  </si>
  <si>
    <t>დანია</t>
  </si>
  <si>
    <t>Czech Republic</t>
  </si>
  <si>
    <t>ეგვიპტე</t>
  </si>
  <si>
    <t>Denmark</t>
  </si>
  <si>
    <t>ესპანეთი</t>
  </si>
  <si>
    <t>Egypt</t>
  </si>
  <si>
    <t>ესტონეთი</t>
  </si>
  <si>
    <t>Estonia</t>
  </si>
  <si>
    <t>თურქეთი</t>
  </si>
  <si>
    <t>Finland</t>
  </si>
  <si>
    <t>ირლანდია</t>
  </si>
  <si>
    <t>France</t>
  </si>
  <si>
    <t>ისლანდია</t>
  </si>
  <si>
    <t>Georgia</t>
  </si>
  <si>
    <t>ისრაელი</t>
  </si>
  <si>
    <t>Germany</t>
  </si>
  <si>
    <t>იტალია</t>
  </si>
  <si>
    <t>Greece</t>
  </si>
  <si>
    <t>კვიპროსი</t>
  </si>
  <si>
    <t>Hungary</t>
  </si>
  <si>
    <t>ლატვია</t>
  </si>
  <si>
    <t>Iceland</t>
  </si>
  <si>
    <t>ლიბანი</t>
  </si>
  <si>
    <t>Ireland</t>
  </si>
  <si>
    <t>ლიბია</t>
  </si>
  <si>
    <t>Israel</t>
  </si>
  <si>
    <t>ლიეტუვა</t>
  </si>
  <si>
    <t>Italy</t>
  </si>
  <si>
    <t>ლუქსემბურგი</t>
  </si>
  <si>
    <t>Kazakhstan</t>
  </si>
  <si>
    <t>მაკედონია</t>
  </si>
  <si>
    <t>Kyrgyzstan</t>
  </si>
  <si>
    <t>მალტა</t>
  </si>
  <si>
    <t>Latvia</t>
  </si>
  <si>
    <t>მაროკო</t>
  </si>
  <si>
    <t>Lebanon</t>
  </si>
  <si>
    <t>მოლდოვა</t>
  </si>
  <si>
    <t>Libya</t>
  </si>
  <si>
    <t>მონტენეგრო</t>
  </si>
  <si>
    <t>Lithuania</t>
  </si>
  <si>
    <t>ნიდერლანდები</t>
  </si>
  <si>
    <t>Luxembourg</t>
  </si>
  <si>
    <t>ნორვეგია</t>
  </si>
  <si>
    <t>Malta</t>
  </si>
  <si>
    <t>პოლონეთი</t>
  </si>
  <si>
    <t>Montenegro</t>
  </si>
  <si>
    <t>პორტუგალია</t>
  </si>
  <si>
    <t>Morocco</t>
  </si>
  <si>
    <t>რუმინეთი</t>
  </si>
  <si>
    <t>Netherlands</t>
  </si>
  <si>
    <t>საბერძნეთი</t>
  </si>
  <si>
    <t>Norway</t>
  </si>
  <si>
    <t>სან მარინო</t>
  </si>
  <si>
    <t>Poland</t>
  </si>
  <si>
    <t>საფრანგეთი</t>
  </si>
  <si>
    <t>Portugal</t>
  </si>
  <si>
    <t>საქართველო</t>
  </si>
  <si>
    <t>Republic of Moldova</t>
  </si>
  <si>
    <t>სერბეთი</t>
  </si>
  <si>
    <t>Romania</t>
  </si>
  <si>
    <t>სირია</t>
  </si>
  <si>
    <t>San Marino</t>
  </si>
  <si>
    <t>სლოვაკეთი</t>
  </si>
  <si>
    <t>Serbia</t>
  </si>
  <si>
    <t>სლოვენია</t>
  </si>
  <si>
    <t>Slovakia</t>
  </si>
  <si>
    <t>სომხეთი</t>
  </si>
  <si>
    <t>Slovenia</t>
  </si>
  <si>
    <t>ტუნისი</t>
  </si>
  <si>
    <t>Spain</t>
  </si>
  <si>
    <t>უზბეკეთი</t>
  </si>
  <si>
    <t>Sweden</t>
  </si>
  <si>
    <t>უკრაინა</t>
  </si>
  <si>
    <t>Switzerland</t>
  </si>
  <si>
    <t>უნგრეთი</t>
  </si>
  <si>
    <t>Syria</t>
  </si>
  <si>
    <t>ფინეთი</t>
  </si>
  <si>
    <t>TFYR Macedonia</t>
  </si>
  <si>
    <t>ყაზახეთი</t>
  </si>
  <si>
    <t>Tunisia</t>
  </si>
  <si>
    <t>ყირგიზეთი</t>
  </si>
  <si>
    <t>Turkey</t>
  </si>
  <si>
    <t>შვედეთი</t>
  </si>
  <si>
    <t>Ukraine</t>
  </si>
  <si>
    <t>შვეიცარია</t>
  </si>
  <si>
    <t>United Kingdom</t>
  </si>
  <si>
    <t>ჩეხეთის რესპუბლიკა</t>
  </si>
  <si>
    <t>Uzbekistan</t>
  </si>
  <si>
    <t>ხორვატია</t>
  </si>
  <si>
    <t>Risk Predictor</t>
  </si>
  <si>
    <t>Value (please enter values below)</t>
  </si>
  <si>
    <t>Risk Region</t>
  </si>
  <si>
    <t>Sex</t>
  </si>
  <si>
    <t>Age (yrs)</t>
  </si>
  <si>
    <t>Diabetes age at diagnosis (yrs)</t>
  </si>
  <si>
    <t>Current smoker</t>
  </si>
  <si>
    <t>SBP (mm Hg)</t>
  </si>
  <si>
    <t>Total cholesterol (mmol/L)</t>
  </si>
  <si>
    <t>HDL cholesterol (mmol/L)</t>
  </si>
  <si>
    <t>HbA1c (mmol/mol)</t>
  </si>
  <si>
    <t>eGFR (ml/min/1.73m^2)</t>
  </si>
  <si>
    <t xml:space="preserve">10-year CVD risk estimate </t>
  </si>
  <si>
    <t>value</t>
  </si>
  <si>
    <t>centred val</t>
  </si>
  <si>
    <t>points men</t>
  </si>
  <si>
    <t>Men</t>
  </si>
  <si>
    <t>points women</t>
  </si>
  <si>
    <t>Women</t>
  </si>
  <si>
    <t>B men</t>
  </si>
  <si>
    <t xml:space="preserve">B fac*age </t>
  </si>
  <si>
    <t>B squared</t>
  </si>
  <si>
    <t>B women</t>
  </si>
  <si>
    <t>Diabetes (yes vs. no)</t>
  </si>
  <si>
    <t>smoking current</t>
  </si>
  <si>
    <t>Ln eGFR (ml/min/1.73m^2)</t>
  </si>
  <si>
    <t>LP</t>
  </si>
  <si>
    <t>Risk unclaibrated</t>
  </si>
  <si>
    <t>risk low risk region</t>
  </si>
  <si>
    <t>risk moderate</t>
  </si>
  <si>
    <t>risk high</t>
  </si>
  <si>
    <t>risk very high</t>
  </si>
  <si>
    <t>თირკმლების ქრონიკული დაავადება და შაქრიანი დიაბეტი (KDIGO სტრატიფიკაცია)</t>
  </si>
  <si>
    <t>მლ/წთ/1.73მ2</t>
  </si>
  <si>
    <t>ალბუმინურია</t>
  </si>
  <si>
    <t>მგ/გ</t>
  </si>
  <si>
    <t>მგ/მმოლ</t>
  </si>
  <si>
    <t>G1</t>
  </si>
  <si>
    <t>&gt;89</t>
  </si>
  <si>
    <t>A1</t>
  </si>
  <si>
    <t>&lt;3</t>
  </si>
  <si>
    <t>შარდის ალბუმინის შეფარდება კრეატინინთან</t>
  </si>
  <si>
    <t>კონვერსია</t>
  </si>
  <si>
    <t>უფრო ზუსტი *8.84</t>
  </si>
  <si>
    <t>G2</t>
  </si>
  <si>
    <t>60-89</t>
  </si>
  <si>
    <t>A2</t>
  </si>
  <si>
    <t>3-30</t>
  </si>
  <si>
    <t>G3a</t>
  </si>
  <si>
    <t>45-59</t>
  </si>
  <si>
    <t>A3</t>
  </si>
  <si>
    <t>&gt;30</t>
  </si>
  <si>
    <t>სტადია</t>
  </si>
  <si>
    <t>G3b</t>
  </si>
  <si>
    <t>30-44</t>
  </si>
  <si>
    <t>G4</t>
  </si>
  <si>
    <t>15-29</t>
  </si>
  <si>
    <t>G5</t>
  </si>
  <si>
    <t>&lt;15</t>
  </si>
  <si>
    <t>თირკმელჩანაცვლებითი თერაპიის საჭიროების რისკის კატეგორია</t>
  </si>
  <si>
    <t>დაბალი რისკი</t>
  </si>
  <si>
    <t>ზომიერად გაზრდილი რისკი (x5)</t>
  </si>
  <si>
    <t>მაღალი რისკი (x20)</t>
  </si>
  <si>
    <t>ძალიან მაღალი რისკი (x150)</t>
  </si>
  <si>
    <t>MDRD eGFR კალკულატორი და CKD-EPI Creatinine eGFR</t>
  </si>
  <si>
    <t xml:space="preserve">კაცი </t>
  </si>
  <si>
    <t>ქალი</t>
  </si>
  <si>
    <t>კრეატინინი</t>
  </si>
  <si>
    <t>მგ/დლ</t>
  </si>
  <si>
    <t>მკმოლ/ლ</t>
  </si>
  <si>
    <t>MDRD eGFR</t>
  </si>
  <si>
    <t xml:space="preserve">სტადია: </t>
  </si>
  <si>
    <t>GFR = 175 × Serum Cr-1.154× age-0.203 × 0.742 (if female)</t>
  </si>
  <si>
    <t>CKD-EPI Creatinine eGFR</t>
  </si>
  <si>
    <t>ნორმა ან მაღალი გლომერულოფილტრაციის სიჩქარე</t>
  </si>
  <si>
    <t>მსუბუქად დაქვეითებული გლომერულოფილტრაციის სიჩქარე</t>
  </si>
  <si>
    <t>გლომერულოფილტრაციის სიჩქარის მსუბუქიდან ზომიერამდე დაქვეითება</t>
  </si>
  <si>
    <t>გლომერულოფილტრაციის სიჩქარის ზომიერიდან მძიმე დაქვეითება</t>
  </si>
  <si>
    <t>გლომერულოფილტრაციის სიჩქარის მძიმე დაქვეითება</t>
  </si>
  <si>
    <t>თირკმლების უკმარისობა</t>
  </si>
  <si>
    <t>142*(Scr/A)^B*0.9938^age*(1.012 if female)</t>
  </si>
  <si>
    <t>Scr ≤0.7</t>
  </si>
  <si>
    <t>A=0.7</t>
  </si>
  <si>
    <t>B=-0,241</t>
  </si>
  <si>
    <t>Scr &gt;0.7</t>
  </si>
  <si>
    <t>B=-1,2</t>
  </si>
  <si>
    <t>კაცი</t>
  </si>
  <si>
    <t>Scr ≤0.9</t>
  </si>
  <si>
    <t>A=0,9</t>
  </si>
  <si>
    <t>B=-0.302</t>
  </si>
  <si>
    <t>Scr &gt;0.9</t>
  </si>
  <si>
    <t>რეკომენდაციები პაციენტებისთვის თირკმლების ქრონიკული დაავადებით და შაქრიანი დიაბეტით</t>
  </si>
  <si>
    <t>რეკომენდებულია ინტენსიური LDL-C დამაქვეითებელი თერაპია სტატინით ან სტატინის და ეზეტიმიბის კომბინაციით</t>
  </si>
  <si>
    <t>I</t>
  </si>
  <si>
    <t>A</t>
  </si>
  <si>
    <t xml:space="preserve">კარდიოვასკულური დაავადების და ალბუმინურიის რისკის შემცირების მიზნით რეკომენდებულია სისხლის შემდეგი სამიზნე წნევა ≤130/80 mmHg </t>
  </si>
  <si>
    <t>HbA1c-ს რეკომენდებული პერსონალიზებული სამიზნე დიაპაზონი არის 6.5–8.0% (48–64 მმოლ/მოლ), ხოლო მიკროვასკულური გართულებების რედუქციის მიზნით რეკომენდებული სამიზნე &lt;7.0% (&lt;53 მმოლ/ლ)</t>
  </si>
  <si>
    <t>რეკომენდებულია აგფ ინჰიბიტორის ან არ ბლოკერის გამოყენება მაქსიმალური ასატანი დოზით</t>
  </si>
  <si>
    <t>პაციენტებში ტიპი 2 შაქრიანი დიაბეტით, თირკმლების ქრონიკული დაავადებით და eGFR ≥20 მლ/წთ/1.73 მ2-ით, კარდიოვასკულური დაავადების და თირკმლების უკმარისობის რისკის რედუქციის მიზნით, რეკომენდებულია SGLT-2 ინჰიბიტორი (კანაგლიფლოზინი, ემპაგლიფლოზინი ან დაპაგლიფლოზინი). სოტაგლიფლოზინს არ გააჩნია თირკმლის უკმარისობის რისკის რედუქციის ეფექტი</t>
  </si>
  <si>
    <t>პაციენტებში ტიპი 2 შაქრიანი დიაბეტით, eGFR &gt;60 მლ/წთ/1.73 მ2-ით და შარდის ალბუმინის კრეატინინთან ≥30 მგ/მმოლ (≥300 მგ/გ)  შეფარდებით ან eGFR &gt;25-60 მლ/წთ/1.73 მ2-ით და შარდის ალბუმინის კრეატინინთან ≥3 მგ/მმოლ (≥30 მგ/გ)  შეფარდებით, რეკომენდებულია ფინერენონის დამატება აგფ ინჰიბიტორზე ან არ ბლოკერზე, კარდიოვასკულური გართულებების და თირკმლების უკმარისობის რისკის რედუქციის მიზნით</t>
  </si>
  <si>
    <t>eGFR &gt;15 მლ/წთ/1.73 მ2-ის შემთხვევაში, ადეკვატური გლიკემიური კონტროლის, ჰიპოგლიკემიის დაბალი რისკის და წონაზე, კარდიოვასკულურ რისკზე და ალბუმინურიაზე დადებით ეფექტების გამო, რეკომენდებულია GLP-1 რეცეპტორის ანტაგონისტი</t>
  </si>
  <si>
    <t>პაციენტებში თირკმლების ქრონიკული დაავადებით და ათეროსკლეროზული კარდიოვასკულური რისკით, რეკომენდებულია დაბალი დოზით (75-100 მგ/დღ) ასპირინი</t>
  </si>
  <si>
    <t>დიაბეტით დაავადებულ პაციენტებში რეკომენდებულია eGFR-ის რუტინული სკრინინგი CKD-EPI-სა და შარდის ალბუმინის და კრეატინინის შეფარდების მეშვეობით</t>
  </si>
  <si>
    <t>B</t>
  </si>
  <si>
    <t>არ არის რეკომენდებული აგფ ინჰიბიტორის და არ ბლოკერის ერთდეოული გამოყენება</t>
  </si>
  <si>
    <t>III</t>
  </si>
  <si>
    <t>გასტროტოქსიკურობის (გასტროენტერალური სისხლდენის) რისკი</t>
  </si>
  <si>
    <t>საშუალო რისკი</t>
  </si>
  <si>
    <t>მაღალი რისკი</t>
  </si>
  <si>
    <t>მსუბუქი/საშაულო ტკივილი</t>
  </si>
  <si>
    <t>საშუალო/მძიმე ტკივილი</t>
  </si>
  <si>
    <t>ძმარმჟავას დერივატები</t>
  </si>
  <si>
    <t>დიკლოფენაკი</t>
  </si>
  <si>
    <t>დიკლოფენაკ კალიუმი</t>
  </si>
  <si>
    <t>დიკლოფენაკ ნატრიუმი</t>
  </si>
  <si>
    <t>ეტოდოლაკი</t>
  </si>
  <si>
    <t>ინდომეტაცინი</t>
  </si>
  <si>
    <t>ინდომეტაცინ ნატრიუმი</t>
  </si>
  <si>
    <t>კეტოროლაკ ტრომეთამინი</t>
  </si>
  <si>
    <t>ნაბუმეტონი</t>
  </si>
  <si>
    <t>სულინდაკი</t>
  </si>
  <si>
    <t>ტოლმეტინ ნატრიუმი</t>
  </si>
  <si>
    <t>ანთრანილის მჟავას დერივატები (ფენამატები)</t>
  </si>
  <si>
    <t>მეკლოფენამატ ნატრიუმი</t>
  </si>
  <si>
    <t>მეფენამის მჟავა</t>
  </si>
  <si>
    <t>ენოლის მჟავას დერივატები</t>
  </si>
  <si>
    <t>მელოქსიკამი</t>
  </si>
  <si>
    <t>პიროქსიკამი</t>
  </si>
  <si>
    <t>პროპიონის მჟავას დერივატები</t>
  </si>
  <si>
    <t>ფენოპროფენ კალციუმი</t>
  </si>
  <si>
    <t>ფლურბიპროფენი</t>
  </si>
  <si>
    <t>იბუპროფენი</t>
  </si>
  <si>
    <t>იბუპროფენ ლიზინი</t>
  </si>
  <si>
    <t>კეტოპროფენი</t>
  </si>
  <si>
    <t>deqsketoprofeni</t>
  </si>
  <si>
    <t>ნაპროქსენი</t>
  </si>
  <si>
    <t>ნაპროქსენ ნატრიუმი</t>
  </si>
  <si>
    <t>ოქსაპროზინი</t>
  </si>
  <si>
    <t>COX-2 სელექციური ინჰიბიტორები</t>
  </si>
  <si>
    <t>ეტორიკოქსიბი</t>
  </si>
  <si>
    <t>ცელეკოქსიბი</t>
  </si>
  <si>
    <t>ნიმესულიდი</t>
  </si>
  <si>
    <t>სულფონანილიდები</t>
  </si>
  <si>
    <t>კარდიოვასკულური რისკი</t>
  </si>
  <si>
    <t>გასტროინტესტინური რისკი</t>
  </si>
  <si>
    <t>რენული რისკი</t>
  </si>
  <si>
    <t>რეკომენდაცია</t>
  </si>
  <si>
    <r>
      <t>მლ/წთ/1.73მ</t>
    </r>
    <r>
      <rPr>
        <vertAlign val="superscript"/>
        <sz val="10"/>
        <color theme="1"/>
        <rFont val="Calibri"/>
        <family val="2"/>
        <charset val="204"/>
        <scheme val="minor"/>
      </rPr>
      <t>2</t>
    </r>
  </si>
  <si>
    <t>Prof. Kakhaber Chelidze, M.D., Ph.D. 2024</t>
  </si>
  <si>
    <t>აგფ ინჰიბიტორი</t>
  </si>
  <si>
    <t>ალკოჰოლი</t>
  </si>
  <si>
    <t>ვალპროატი</t>
  </si>
  <si>
    <t>ამინოგლიკოზიდები</t>
  </si>
  <si>
    <t>პაციენტი იღებს დიურეტიკს. მოსალოდნელია დიურეტიკის აქტივობის დაქვეითება</t>
  </si>
  <si>
    <t>პაციენტი იღებს ბეტა-ბლოკერს. მოსალოდნელია ბეტა-ბლოკერის ანტიჰიპერტენზიული ეფექტის დაქვეითება</t>
  </si>
  <si>
    <t>პაციენტი იღებს აგფ ინჰიბიტორს. მოსალოდნელია აგფ ინჰიბიტორის ანტიჰიპერტენზიული ეფექტის დაქვეითება</t>
  </si>
  <si>
    <t>პაციენტი იღებს ანტიკოაგულანტს. მოსალოდნელია გასტროენტერული სისხლდენის რისკის მატება</t>
  </si>
  <si>
    <t>პაციენტი იღებს სულფონილშარდოვანას. მოსალოდნელია ჰიპოგლიკემიის რისკის მატება</t>
  </si>
  <si>
    <t>პაციენტი იღებს ალკოჰოლს. მოსალოდნელია გასტროენტერული სისხლდენის რისკის მატება</t>
  </si>
  <si>
    <t>პაციენტი იღებს ციკლოსპორინს. მოსალოდნელია ნეფროტოქსიკურობის რისკის მატება</t>
  </si>
  <si>
    <t>პაციენტი იღებს გლუკოკორტიკოიდს. მოსალოდნელია გასტროენტერული სისხლდენის რისკის მატება</t>
  </si>
  <si>
    <t>პაციენტი იღებს SSRI-ს. მოსალოდნელია ნეფროტოქსიკურობის რისკის მატება</t>
  </si>
  <si>
    <t>პაციენტი იღებს კუმარინულ ანტიკოაგულანტს. მოსალოდნელია კუმარინის მეტაბოლიზმის ინჰიბიცია</t>
  </si>
  <si>
    <t>პაციენტი იღებს ფენიტოინს. მოსალოდნელია კუმარინის მეტაბოლიზმის ინჰიბიცია</t>
  </si>
  <si>
    <t>პაციენტი იღებს ვალპროატს. მოსალოდნელია კუმარინის მეტაბოლიზმის ინჰიბიცია</t>
  </si>
  <si>
    <t>პაციენტი იღებს დიგოქსინს. მოსალოდნელია დიგოქსინის თირკმლისმიერი ექსკრეციის ინჰიბიცია</t>
  </si>
  <si>
    <t>პაციენტი იღებს ლითიუმს. მოსალოდნელია ლითიუმის თირკმლისმიერი ექსკრეციის ინჰიბიცია</t>
  </si>
  <si>
    <t>პაციენტი იღებს ამინოგლიკოზიდს. მოსალოდნელია ამინოგლიკოზიდის თირკმლისმიერი ექსკრეციის ინჰიბიცია</t>
  </si>
  <si>
    <t>პაციენტი იღებს მეთოტრექსატს. მოსალოდნელია მეთოტრექსატის თირკმლისმიერი ექსკრეციის ინჰიბიცია</t>
  </si>
  <si>
    <t>კუმარინული ანტიკოაგულანტი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</si>
</sst>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rgb="FF000000"/>
      <name val="Segoe U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.8000000000000007"/>
      <color theme="0"/>
      <name val="Calibri"/>
      <family val="2"/>
      <charset val="204"/>
    </font>
    <font>
      <b/>
      <sz val="16"/>
      <name val="Calibri"/>
      <family val="2"/>
      <charset val="204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</font>
    <font>
      <i/>
      <sz val="9"/>
      <color theme="4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i/>
      <u/>
      <sz val="10"/>
      <color theme="10"/>
      <name val="Calibri"/>
      <family val="1"/>
      <scheme val="minor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Calibri"/>
      <family val="2"/>
    </font>
    <font>
      <i/>
      <sz val="10"/>
      <color theme="4" tint="-0.249977111117893"/>
      <name val="Calibri"/>
      <family val="2"/>
    </font>
    <font>
      <b/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1"/>
      <name val="Calibri"/>
      <family val="2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0"/>
      <name val="Calibri"/>
      <family val="2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BPG Ingiri Contrast Mix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2" borderId="1" xfId="0" applyFill="1" applyBorder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2" borderId="0" xfId="0" applyFill="1" applyBorder="1"/>
    <xf numFmtId="0" fontId="5" fillId="2" borderId="0" xfId="0" applyFont="1" applyFill="1"/>
    <xf numFmtId="0" fontId="6" fillId="2" borderId="0" xfId="0" applyFont="1" applyFill="1"/>
    <xf numFmtId="0" fontId="0" fillId="2" borderId="2" xfId="0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vertical="center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4" borderId="19" xfId="0" applyFill="1" applyBorder="1"/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0" fillId="4" borderId="21" xfId="0" applyFill="1" applyBorder="1"/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9" fillId="2" borderId="0" xfId="0" applyFont="1" applyFill="1"/>
    <xf numFmtId="0" fontId="0" fillId="4" borderId="26" xfId="0" applyFill="1" applyBorder="1"/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9" xfId="0" applyFill="1" applyBorder="1"/>
    <xf numFmtId="0" fontId="0" fillId="2" borderId="21" xfId="0" applyFill="1" applyBorder="1"/>
    <xf numFmtId="0" fontId="0" fillId="2" borderId="26" xfId="0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0" fillId="2" borderId="0" xfId="0" applyFill="1" applyAlignment="1">
      <alignment vertical="center" wrapText="1"/>
    </xf>
    <xf numFmtId="0" fontId="0" fillId="2" borderId="27" xfId="0" applyFill="1" applyBorder="1"/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0" fillId="4" borderId="31" xfId="0" applyFill="1" applyBorder="1"/>
    <xf numFmtId="0" fontId="4" fillId="5" borderId="32" xfId="0" applyFont="1" applyFill="1" applyBorder="1" applyAlignment="1">
      <alignment horizontal="center" vertical="center"/>
    </xf>
    <xf numFmtId="0" fontId="0" fillId="4" borderId="33" xfId="0" applyFill="1" applyBorder="1"/>
    <xf numFmtId="0" fontId="4" fillId="5" borderId="34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0" fillId="4" borderId="35" xfId="0" applyFill="1" applyBorder="1"/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37" xfId="0" applyFill="1" applyBorder="1"/>
    <xf numFmtId="0" fontId="4" fillId="5" borderId="38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3" fillId="2" borderId="0" xfId="0" applyFont="1" applyFill="1"/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17" fillId="0" borderId="0" xfId="0" applyFont="1"/>
    <xf numFmtId="0" fontId="15" fillId="2" borderId="0" xfId="0" applyFont="1" applyFill="1" applyProtection="1">
      <protection locked="0"/>
    </xf>
    <xf numFmtId="0" fontId="14" fillId="2" borderId="0" xfId="0" applyFont="1" applyFill="1" applyAlignment="1">
      <alignment horizontal="left" vertical="center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/>
    <xf numFmtId="0" fontId="19" fillId="2" borderId="0" xfId="0" applyFont="1" applyFill="1"/>
    <xf numFmtId="0" fontId="17" fillId="2" borderId="0" xfId="0" applyFont="1" applyFill="1"/>
    <xf numFmtId="0" fontId="14" fillId="2" borderId="0" xfId="0" applyFont="1" applyFill="1" applyAlignment="1">
      <alignment horizontal="right" vertical="center"/>
    </xf>
    <xf numFmtId="164" fontId="22" fillId="2" borderId="2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/>
    <xf numFmtId="0" fontId="24" fillId="2" borderId="0" xfId="0" applyFont="1" applyFill="1"/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vertical="center"/>
    </xf>
    <xf numFmtId="0" fontId="31" fillId="2" borderId="0" xfId="0" applyFont="1" applyFill="1"/>
    <xf numFmtId="49" fontId="15" fillId="2" borderId="0" xfId="0" applyNumberFormat="1" applyFont="1" applyFill="1"/>
    <xf numFmtId="0" fontId="21" fillId="3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32" fillId="2" borderId="43" xfId="0" applyNumberFormat="1" applyFont="1" applyFill="1" applyBorder="1" applyAlignment="1">
      <alignment horizontal="center" vertical="center"/>
    </xf>
    <xf numFmtId="0" fontId="14" fillId="2" borderId="43" xfId="0" applyFont="1" applyFill="1" applyBorder="1"/>
    <xf numFmtId="0" fontId="14" fillId="2" borderId="42" xfId="0" applyFont="1" applyFill="1" applyBorder="1"/>
    <xf numFmtId="0" fontId="33" fillId="4" borderId="44" xfId="0" applyFont="1" applyFill="1" applyBorder="1"/>
    <xf numFmtId="0" fontId="33" fillId="4" borderId="45" xfId="0" applyFont="1" applyFill="1" applyBorder="1"/>
    <xf numFmtId="0" fontId="33" fillId="4" borderId="34" xfId="0" applyFont="1" applyFill="1" applyBorder="1"/>
    <xf numFmtId="0" fontId="14" fillId="8" borderId="1" xfId="0" applyFont="1" applyFill="1" applyBorder="1" applyAlignment="1" applyProtection="1">
      <alignment horizontal="center" vertical="center"/>
    </xf>
    <xf numFmtId="0" fontId="0" fillId="2" borderId="49" xfId="0" applyFill="1" applyBorder="1"/>
    <xf numFmtId="0" fontId="0" fillId="2" borderId="50" xfId="0" applyFill="1" applyBorder="1"/>
    <xf numFmtId="0" fontId="0" fillId="2" borderId="51" xfId="0" applyFill="1" applyBorder="1" applyAlignment="1"/>
    <xf numFmtId="0" fontId="0" fillId="2" borderId="1" xfId="0" applyFill="1" applyBorder="1" applyAlignment="1"/>
    <xf numFmtId="0" fontId="0" fillId="2" borderId="52" xfId="0" applyFill="1" applyBorder="1" applyAlignment="1"/>
    <xf numFmtId="0" fontId="14" fillId="2" borderId="0" xfId="0" applyFont="1" applyFill="1" applyProtection="1"/>
    <xf numFmtId="0" fontId="0" fillId="2" borderId="0" xfId="0" applyFill="1" applyBorder="1" applyAlignment="1"/>
    <xf numFmtId="0" fontId="0" fillId="2" borderId="46" xfId="0" applyFill="1" applyBorder="1"/>
    <xf numFmtId="0" fontId="0" fillId="2" borderId="47" xfId="0" applyFill="1" applyBorder="1"/>
    <xf numFmtId="0" fontId="0" fillId="2" borderId="48" xfId="0" applyFill="1" applyBorder="1"/>
    <xf numFmtId="0" fontId="0" fillId="2" borderId="49" xfId="0" applyFill="1" applyBorder="1" applyAlignment="1"/>
    <xf numFmtId="0" fontId="0" fillId="2" borderId="50" xfId="0" applyFill="1" applyBorder="1" applyAlignment="1"/>
    <xf numFmtId="0" fontId="0" fillId="2" borderId="51" xfId="0" applyFill="1" applyBorder="1"/>
    <xf numFmtId="0" fontId="0" fillId="2" borderId="52" xfId="0" applyFill="1" applyBorder="1"/>
    <xf numFmtId="0" fontId="35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textRotation="90"/>
    </xf>
    <xf numFmtId="0" fontId="3" fillId="2" borderId="0" xfId="0" applyFont="1" applyFill="1" applyBorder="1" applyAlignment="1">
      <alignment vertical="center"/>
    </xf>
    <xf numFmtId="0" fontId="0" fillId="13" borderId="0" xfId="0" applyFill="1"/>
    <xf numFmtId="0" fontId="0" fillId="4" borderId="49" xfId="0" applyFill="1" applyBorder="1"/>
    <xf numFmtId="0" fontId="0" fillId="4" borderId="0" xfId="0" applyFill="1" applyBorder="1"/>
    <xf numFmtId="0" fontId="37" fillId="2" borderId="0" xfId="1" applyFont="1" applyFill="1" applyAlignment="1">
      <alignment vertical="center"/>
    </xf>
    <xf numFmtId="0" fontId="8" fillId="2" borderId="0" xfId="1" applyFill="1"/>
    <xf numFmtId="0" fontId="0" fillId="4" borderId="50" xfId="0" applyFill="1" applyBorder="1"/>
    <xf numFmtId="0" fontId="38" fillId="2" borderId="3" xfId="0" applyFont="1" applyFill="1" applyBorder="1"/>
    <xf numFmtId="0" fontId="38" fillId="2" borderId="4" xfId="0" applyFont="1" applyFill="1" applyBorder="1"/>
    <xf numFmtId="0" fontId="38" fillId="2" borderId="6" xfId="0" applyFont="1" applyFill="1" applyBorder="1"/>
    <xf numFmtId="0" fontId="38" fillId="2" borderId="0" xfId="0" applyFont="1" applyFill="1" applyBorder="1"/>
    <xf numFmtId="0" fontId="38" fillId="2" borderId="7" xfId="0" applyFont="1" applyFill="1" applyBorder="1"/>
    <xf numFmtId="0" fontId="38" fillId="2" borderId="0" xfId="0" applyFont="1" applyFill="1" applyBorder="1" applyAlignment="1">
      <alignment horizontal="center" vertical="center"/>
    </xf>
    <xf numFmtId="1" fontId="38" fillId="2" borderId="1" xfId="0" applyNumberFormat="1" applyFont="1" applyFill="1" applyBorder="1" applyAlignment="1">
      <alignment horizontal="center" vertical="center"/>
    </xf>
    <xf numFmtId="0" fontId="38" fillId="2" borderId="0" xfId="0" applyFont="1" applyFill="1" applyBorder="1" applyProtection="1">
      <protection locked="0"/>
    </xf>
    <xf numFmtId="164" fontId="38" fillId="2" borderId="1" xfId="0" applyNumberFormat="1" applyFont="1" applyFill="1" applyBorder="1" applyAlignment="1" applyProtection="1">
      <alignment horizontal="center" vertical="center"/>
    </xf>
    <xf numFmtId="0" fontId="38" fillId="2" borderId="8" xfId="0" applyFont="1" applyFill="1" applyBorder="1"/>
    <xf numFmtId="0" fontId="38" fillId="2" borderId="9" xfId="0" applyFont="1" applyFill="1" applyBorder="1"/>
    <xf numFmtId="0" fontId="38" fillId="2" borderId="10" xfId="0" applyFont="1" applyFill="1" applyBorder="1"/>
    <xf numFmtId="0" fontId="38" fillId="2" borderId="4" xfId="0" applyFont="1" applyFill="1" applyBorder="1" applyProtection="1">
      <protection locked="0"/>
    </xf>
    <xf numFmtId="0" fontId="38" fillId="2" borderId="5" xfId="0" applyFont="1" applyFill="1" applyBorder="1"/>
    <xf numFmtId="0" fontId="38" fillId="2" borderId="0" xfId="0" applyFont="1" applyFill="1" applyBorder="1" applyProtection="1"/>
    <xf numFmtId="0" fontId="38" fillId="4" borderId="6" xfId="0" applyFont="1" applyFill="1" applyBorder="1"/>
    <xf numFmtId="0" fontId="38" fillId="2" borderId="0" xfId="0" applyFont="1" applyFill="1"/>
    <xf numFmtId="0" fontId="38" fillId="2" borderId="54" xfId="0" applyFont="1" applyFill="1" applyBorder="1" applyAlignment="1">
      <alignment horizontal="center" textRotation="90"/>
    </xf>
    <xf numFmtId="0" fontId="38" fillId="2" borderId="55" xfId="0" applyFont="1" applyFill="1" applyBorder="1" applyAlignment="1">
      <alignment horizontal="center" textRotation="90"/>
    </xf>
    <xf numFmtId="0" fontId="38" fillId="2" borderId="56" xfId="0" applyFont="1" applyFill="1" applyBorder="1" applyAlignment="1">
      <alignment horizontal="center" textRotation="90"/>
    </xf>
    <xf numFmtId="0" fontId="40" fillId="4" borderId="41" xfId="0" applyFont="1" applyFill="1" applyBorder="1" applyAlignment="1">
      <alignment vertical="center"/>
    </xf>
    <xf numFmtId="0" fontId="40" fillId="4" borderId="43" xfId="0" applyFont="1" applyFill="1" applyBorder="1" applyAlignment="1">
      <alignment vertical="center"/>
    </xf>
    <xf numFmtId="0" fontId="40" fillId="4" borderId="42" xfId="0" applyFont="1" applyFill="1" applyBorder="1" applyAlignment="1">
      <alignment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center" vertical="center"/>
    </xf>
    <xf numFmtId="0" fontId="38" fillId="2" borderId="24" xfId="0" applyFont="1" applyFill="1" applyBorder="1" applyAlignment="1">
      <alignment horizontal="center" vertical="center"/>
    </xf>
    <xf numFmtId="0" fontId="38" fillId="2" borderId="16" xfId="0" applyFont="1" applyFill="1" applyBorder="1" applyAlignment="1">
      <alignment horizontal="center" vertical="center"/>
    </xf>
    <xf numFmtId="0" fontId="38" fillId="2" borderId="17" xfId="0" applyFont="1" applyFill="1" applyBorder="1" applyAlignment="1">
      <alignment horizontal="center" vertical="center"/>
    </xf>
    <xf numFmtId="0" fontId="38" fillId="2" borderId="52" xfId="0" applyFont="1" applyFill="1" applyBorder="1" applyAlignment="1">
      <alignment horizontal="center" vertical="center"/>
    </xf>
    <xf numFmtId="0" fontId="38" fillId="2" borderId="39" xfId="0" applyFont="1" applyFill="1" applyBorder="1" applyAlignment="1">
      <alignment horizontal="center" vertical="center"/>
    </xf>
    <xf numFmtId="0" fontId="38" fillId="2" borderId="40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center"/>
    </xf>
    <xf numFmtId="0" fontId="38" fillId="2" borderId="24" xfId="0" applyFont="1" applyFill="1" applyBorder="1" applyAlignment="1">
      <alignment horizontal="center"/>
    </xf>
    <xf numFmtId="0" fontId="38" fillId="2" borderId="29" xfId="0" applyFont="1" applyFill="1" applyBorder="1" applyAlignment="1">
      <alignment horizontal="center"/>
    </xf>
    <xf numFmtId="0" fontId="38" fillId="2" borderId="30" xfId="0" applyFont="1" applyFill="1" applyBorder="1" applyAlignment="1">
      <alignment horizontal="center"/>
    </xf>
    <xf numFmtId="0" fontId="38" fillId="2" borderId="48" xfId="0" applyFont="1" applyFill="1" applyBorder="1" applyAlignment="1">
      <alignment horizontal="center" vertical="center"/>
    </xf>
    <xf numFmtId="0" fontId="38" fillId="2" borderId="29" xfId="0" applyFont="1" applyFill="1" applyBorder="1" applyAlignment="1">
      <alignment horizontal="center" vertical="center"/>
    </xf>
    <xf numFmtId="0" fontId="38" fillId="2" borderId="30" xfId="0" applyFont="1" applyFill="1" applyBorder="1" applyAlignment="1">
      <alignment horizontal="center" vertical="center"/>
    </xf>
    <xf numFmtId="0" fontId="38" fillId="2" borderId="59" xfId="0" applyFont="1" applyFill="1" applyBorder="1" applyAlignment="1">
      <alignment horizontal="center" vertical="center"/>
    </xf>
    <xf numFmtId="0" fontId="38" fillId="2" borderId="58" xfId="0" applyFont="1" applyFill="1" applyBorder="1" applyAlignment="1">
      <alignment horizontal="center" vertical="center"/>
    </xf>
    <xf numFmtId="0" fontId="38" fillId="2" borderId="60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38" fillId="4" borderId="1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left" vertical="center" wrapText="1"/>
    </xf>
    <xf numFmtId="0" fontId="38" fillId="4" borderId="1" xfId="0" applyFont="1" applyFill="1" applyBorder="1" applyAlignment="1" applyProtection="1">
      <alignment horizontal="center" vertical="center"/>
      <protection locked="0"/>
    </xf>
    <xf numFmtId="0" fontId="38" fillId="4" borderId="6" xfId="0" applyFont="1" applyFill="1" applyBorder="1" applyAlignment="1">
      <alignment horizontal="left" vertical="center"/>
    </xf>
    <xf numFmtId="0" fontId="38" fillId="4" borderId="0" xfId="0" applyFont="1" applyFill="1" applyBorder="1" applyAlignment="1">
      <alignment horizontal="left" vertical="center"/>
    </xf>
    <xf numFmtId="14" fontId="38" fillId="4" borderId="1" xfId="0" applyNumberFormat="1" applyFont="1" applyFill="1" applyBorder="1" applyAlignment="1" applyProtection="1">
      <alignment horizontal="center" vertical="center"/>
      <protection locked="0"/>
    </xf>
    <xf numFmtId="0" fontId="38" fillId="4" borderId="11" xfId="0" applyFont="1" applyFill="1" applyBorder="1" applyAlignment="1" applyProtection="1">
      <alignment horizontal="center" vertical="center"/>
      <protection locked="0"/>
    </xf>
    <xf numFmtId="0" fontId="38" fillId="2" borderId="4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36" fillId="2" borderId="49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50" xfId="0" applyFont="1" applyFill="1" applyBorder="1" applyAlignment="1">
      <alignment horizontal="center" vertical="center" wrapText="1"/>
    </xf>
    <xf numFmtId="0" fontId="1" fillId="3" borderId="0" xfId="1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1" fillId="2" borderId="38" xfId="0" applyFont="1" applyFill="1" applyBorder="1" applyAlignment="1">
      <alignment horizontal="left" vertical="center"/>
    </xf>
    <xf numFmtId="0" fontId="41" fillId="2" borderId="39" xfId="0" applyFont="1" applyFill="1" applyBorder="1" applyAlignment="1">
      <alignment horizontal="left" vertical="center"/>
    </xf>
    <xf numFmtId="0" fontId="41" fillId="2" borderId="28" xfId="0" applyFont="1" applyFill="1" applyBorder="1" applyAlignment="1">
      <alignment horizontal="left" vertical="center"/>
    </xf>
    <xf numFmtId="0" fontId="41" fillId="2" borderId="29" xfId="0" applyFont="1" applyFill="1" applyBorder="1" applyAlignment="1">
      <alignment horizontal="left" vertical="center"/>
    </xf>
    <xf numFmtId="0" fontId="41" fillId="2" borderId="57" xfId="0" applyFont="1" applyFill="1" applyBorder="1" applyAlignment="1">
      <alignment horizontal="left" vertical="center"/>
    </xf>
    <xf numFmtId="0" fontId="41" fillId="2" borderId="58" xfId="0" applyFont="1" applyFill="1" applyBorder="1" applyAlignment="1">
      <alignment horizontal="left" vertical="center"/>
    </xf>
    <xf numFmtId="0" fontId="41" fillId="2" borderId="22" xfId="0" applyFont="1" applyFill="1" applyBorder="1" applyAlignment="1">
      <alignment horizontal="left" vertical="center"/>
    </xf>
    <xf numFmtId="0" fontId="41" fillId="2" borderId="23" xfId="0" applyFont="1" applyFill="1" applyBorder="1" applyAlignment="1">
      <alignment horizontal="left" vertical="center"/>
    </xf>
    <xf numFmtId="0" fontId="41" fillId="2" borderId="15" xfId="0" applyFont="1" applyFill="1" applyBorder="1" applyAlignment="1">
      <alignment horizontal="left" vertical="center"/>
    </xf>
    <xf numFmtId="0" fontId="41" fillId="2" borderId="16" xfId="0" applyFont="1" applyFill="1" applyBorder="1" applyAlignment="1">
      <alignment horizontal="left" vertical="center"/>
    </xf>
    <xf numFmtId="0" fontId="41" fillId="2" borderId="31" xfId="0" applyFont="1" applyFill="1" applyBorder="1" applyAlignment="1">
      <alignment horizontal="left" vertical="center"/>
    </xf>
    <xf numFmtId="0" fontId="41" fillId="2" borderId="53" xfId="0" applyFont="1" applyFill="1" applyBorder="1" applyAlignment="1">
      <alignment horizontal="left" vertical="center"/>
    </xf>
    <xf numFmtId="0" fontId="41" fillId="2" borderId="32" xfId="0" applyFont="1" applyFill="1" applyBorder="1" applyAlignment="1">
      <alignment horizontal="left" vertical="center"/>
    </xf>
    <xf numFmtId="0" fontId="41" fillId="2" borderId="12" xfId="0" applyFont="1" applyFill="1" applyBorder="1" applyAlignment="1">
      <alignment horizontal="left" vertical="center"/>
    </xf>
    <xf numFmtId="0" fontId="41" fillId="2" borderId="13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" fontId="19" fillId="2" borderId="0" xfId="0" applyNumberFormat="1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13" fillId="3" borderId="0" xfId="1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23" fillId="2" borderId="0" xfId="1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  <xf numFmtId="0" fontId="28" fillId="0" borderId="0" xfId="0" applyFont="1" applyAlignment="1">
      <alignment wrapText="1"/>
    </xf>
    <xf numFmtId="0" fontId="32" fillId="2" borderId="41" xfId="0" applyFont="1" applyFill="1" applyBorder="1" applyAlignment="1">
      <alignment horizontal="center" vertical="center"/>
    </xf>
    <xf numFmtId="0" fontId="32" fillId="2" borderId="43" xfId="0" applyFont="1" applyFill="1" applyBorder="1" applyAlignment="1">
      <alignment horizontal="center" vertical="center"/>
    </xf>
    <xf numFmtId="0" fontId="30" fillId="3" borderId="0" xfId="1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6" fillId="2" borderId="46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left" vertical="center" wrapText="1"/>
    </xf>
    <xf numFmtId="0" fontId="16" fillId="2" borderId="49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50" xfId="0" applyFont="1" applyFill="1" applyBorder="1" applyAlignment="1">
      <alignment horizontal="left" vertical="center" wrapText="1"/>
    </xf>
    <xf numFmtId="0" fontId="16" fillId="2" borderId="5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52" xfId="0" applyFont="1" applyFill="1" applyBorder="1" applyAlignment="1">
      <alignment horizontal="left" vertical="center" wrapText="1"/>
    </xf>
    <xf numFmtId="0" fontId="34" fillId="10" borderId="23" xfId="1" applyFont="1" applyFill="1" applyBorder="1" applyAlignment="1">
      <alignment horizontal="center" vertical="center" wrapText="1"/>
    </xf>
    <xf numFmtId="0" fontId="34" fillId="11" borderId="23" xfId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34" fillId="12" borderId="23" xfId="1" applyFont="1" applyFill="1" applyBorder="1" applyAlignment="1">
      <alignment horizontal="center" vertical="center" wrapText="1"/>
    </xf>
    <xf numFmtId="0" fontId="25" fillId="5" borderId="23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1"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color theme="0"/>
      </font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P$4" lockText="1" noThreeD="1"/>
</file>

<file path=xl/ctrlProps/ctrlProp10.xml><?xml version="1.0" encoding="utf-8"?>
<formControlPr xmlns="http://schemas.microsoft.com/office/spreadsheetml/2009/9/main" objectType="CheckBox" fmlaLink="$P$20" lockText="1" noThreeD="1"/>
</file>

<file path=xl/ctrlProps/ctrlProp11.xml><?xml version="1.0" encoding="utf-8"?>
<formControlPr xmlns="http://schemas.microsoft.com/office/spreadsheetml/2009/9/main" objectType="CheckBox" fmlaLink="$P$21" lockText="1" noThreeD="1"/>
</file>

<file path=xl/ctrlProps/ctrlProp12.xml><?xml version="1.0" encoding="utf-8"?>
<formControlPr xmlns="http://schemas.microsoft.com/office/spreadsheetml/2009/9/main" objectType="CheckBox" fmlaLink="$P$26" lockText="1" noThreeD="1"/>
</file>

<file path=xl/ctrlProps/ctrlProp13.xml><?xml version="1.0" encoding="utf-8"?>
<formControlPr xmlns="http://schemas.microsoft.com/office/spreadsheetml/2009/9/main" objectType="CheckBox" fmlaLink="$P$27" lockText="1" noThreeD="1"/>
</file>

<file path=xl/ctrlProps/ctrlProp14.xml><?xml version="1.0" encoding="utf-8"?>
<formControlPr xmlns="http://schemas.microsoft.com/office/spreadsheetml/2009/9/main" objectType="CheckBox" fmlaLink="$P$28" lockText="1" noThreeD="1"/>
</file>

<file path=xl/ctrlProps/ctrlProp15.xml><?xml version="1.0" encoding="utf-8"?>
<formControlPr xmlns="http://schemas.microsoft.com/office/spreadsheetml/2009/9/main" objectType="Drop" dropLines="9" dropStyle="combo" dx="31" fmlaLink="$E$28" fmlaRange="$Q$25:$Q$33" noThreeD="1" sel="1" val="0"/>
</file>

<file path=xl/ctrlProps/ctrlProp16.xml><?xml version="1.0" encoding="utf-8"?>
<formControlPr xmlns="http://schemas.microsoft.com/office/spreadsheetml/2009/9/main" objectType="CheckBox" fmlaLink="$P$38" lockText="1" noThreeD="1"/>
</file>

<file path=xl/ctrlProps/ctrlProp17.xml><?xml version="1.0" encoding="utf-8"?>
<formControlPr xmlns="http://schemas.microsoft.com/office/spreadsheetml/2009/9/main" objectType="CheckBox" fmlaLink="$P$39" lockText="1" noThreeD="1"/>
</file>

<file path=xl/ctrlProps/ctrlProp18.xml><?xml version="1.0" encoding="utf-8"?>
<formControlPr xmlns="http://schemas.microsoft.com/office/spreadsheetml/2009/9/main" objectType="CheckBox" fmlaLink="$P$40" lockText="1" noThreeD="1"/>
</file>

<file path=xl/ctrlProps/ctrlProp19.xml><?xml version="1.0" encoding="utf-8"?>
<formControlPr xmlns="http://schemas.microsoft.com/office/spreadsheetml/2009/9/main" objectType="CheckBox" fmlaLink="$P$4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fmlaLink="$P$42" lockText="1" noThreeD="1"/>
</file>

<file path=xl/ctrlProps/ctrlProp21.xml><?xml version="1.0" encoding="utf-8"?>
<formControlPr xmlns="http://schemas.microsoft.com/office/spreadsheetml/2009/9/main" objectType="CheckBox" fmlaLink="$P$43" lockText="1" noThreeD="1"/>
</file>

<file path=xl/ctrlProps/ctrlProp22.xml><?xml version="1.0" encoding="utf-8"?>
<formControlPr xmlns="http://schemas.microsoft.com/office/spreadsheetml/2009/9/main" objectType="CheckBox" fmlaLink="$P$44" lockText="1" noThreeD="1"/>
</file>

<file path=xl/ctrlProps/ctrlProp23.xml><?xml version="1.0" encoding="utf-8"?>
<formControlPr xmlns="http://schemas.microsoft.com/office/spreadsheetml/2009/9/main" objectType="CheckBox" fmlaLink="$P$45" lockText="1" noThreeD="1"/>
</file>

<file path=xl/ctrlProps/ctrlProp24.xml><?xml version="1.0" encoding="utf-8"?>
<formControlPr xmlns="http://schemas.microsoft.com/office/spreadsheetml/2009/9/main" objectType="CheckBox" fmlaLink="$P$46" lockText="1" noThreeD="1"/>
</file>

<file path=xl/ctrlProps/ctrlProp25.xml><?xml version="1.0" encoding="utf-8"?>
<formControlPr xmlns="http://schemas.microsoft.com/office/spreadsheetml/2009/9/main" objectType="CheckBox" fmlaLink="$P$48" lockText="1" noThreeD="1"/>
</file>

<file path=xl/ctrlProps/ctrlProp26.xml><?xml version="1.0" encoding="utf-8"?>
<formControlPr xmlns="http://schemas.microsoft.com/office/spreadsheetml/2009/9/main" objectType="CheckBox" fmlaLink="$P$50" lockText="1" noThreeD="1"/>
</file>

<file path=xl/ctrlProps/ctrlProp27.xml><?xml version="1.0" encoding="utf-8"?>
<formControlPr xmlns="http://schemas.microsoft.com/office/spreadsheetml/2009/9/main" objectType="CheckBox" fmlaLink="$P$52" lockText="1" noThreeD="1"/>
</file>

<file path=xl/ctrlProps/ctrlProp28.xml><?xml version="1.0" encoding="utf-8"?>
<formControlPr xmlns="http://schemas.microsoft.com/office/spreadsheetml/2009/9/main" objectType="CheckBox" fmlaLink="$P$53" lockText="1" noThreeD="1"/>
</file>

<file path=xl/ctrlProps/ctrlProp29.xml><?xml version="1.0" encoding="utf-8"?>
<formControlPr xmlns="http://schemas.microsoft.com/office/spreadsheetml/2009/9/main" objectType="CheckBox" fmlaLink="$P$54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30.xml><?xml version="1.0" encoding="utf-8"?>
<formControlPr xmlns="http://schemas.microsoft.com/office/spreadsheetml/2009/9/main" objectType="CheckBox" fmlaLink="$P$55" lockText="1" noThreeD="1"/>
</file>

<file path=xl/ctrlProps/ctrlProp31.xml><?xml version="1.0" encoding="utf-8"?>
<formControlPr xmlns="http://schemas.microsoft.com/office/spreadsheetml/2009/9/main" objectType="CheckBox" fmlaLink="$P$56" lockText="1" noThreeD="1"/>
</file>

<file path=xl/ctrlProps/ctrlProp32.xml><?xml version="1.0" encoding="utf-8"?>
<formControlPr xmlns="http://schemas.microsoft.com/office/spreadsheetml/2009/9/main" objectType="CheckBox" fmlaLink="$P$57" lockText="1" noThreeD="1"/>
</file>

<file path=xl/ctrlProps/ctrlProp33.xml><?xml version="1.0" encoding="utf-8"?>
<formControlPr xmlns="http://schemas.microsoft.com/office/spreadsheetml/2009/9/main" objectType="CheckBox" fmlaLink="$P$58" lockText="1" noThreeD="1"/>
</file>

<file path=xl/ctrlProps/ctrlProp34.xml><?xml version="1.0" encoding="utf-8"?>
<formControlPr xmlns="http://schemas.microsoft.com/office/spreadsheetml/2009/9/main" objectType="CheckBox" fmlaLink="$P$47" lockText="1" noThreeD="1"/>
</file>

<file path=xl/ctrlProps/ctrlProp35.xml><?xml version="1.0" encoding="utf-8"?>
<formControlPr xmlns="http://schemas.microsoft.com/office/spreadsheetml/2009/9/main" objectType="CheckBox" fmlaLink="$P$49" lockText="1" noThreeD="1"/>
</file>

<file path=xl/ctrlProps/ctrlProp36.xml><?xml version="1.0" encoding="utf-8"?>
<formControlPr xmlns="http://schemas.microsoft.com/office/spreadsheetml/2009/9/main" objectType="Radio" firstButton="1" fmlaLink="$P$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checked="Checked" lockText="1" noThreeD="1"/>
</file>

<file path=xl/ctrlProps/ctrlProp39.xml><?xml version="1.0" encoding="utf-8"?>
<formControlPr xmlns="http://schemas.microsoft.com/office/spreadsheetml/2009/9/main" objectType="Drop" dropLines="23" dropStyle="combo" dx="22" fmlaLink="$G$4" fmlaRange="$Q$23:$Q$78" noThreeD="1" sel="40" val="29"/>
</file>

<file path=xl/ctrlProps/ctrlProp4.xml><?xml version="1.0" encoding="utf-8"?>
<formControlPr xmlns="http://schemas.microsoft.com/office/spreadsheetml/2009/9/main" objectType="Drop" dropStyle="combo" dx="31" fmlaLink="$C$12" fmlaRange="$Q$1:$Q$3" noThreeD="1" sel="1" val="0"/>
</file>

<file path=xl/ctrlProps/ctrlProp5.xml><?xml version="1.0" encoding="utf-8"?>
<formControlPr xmlns="http://schemas.microsoft.com/office/spreadsheetml/2009/9/main" objectType="Drop" dropStyle="combo" dx="31" fmlaLink="$C$14" fmlaRange="$Q$1:$Q$3" noThreeD="1" sel="1" val="0"/>
</file>

<file path=xl/ctrlProps/ctrlProp6.xml><?xml version="1.0" encoding="utf-8"?>
<formControlPr xmlns="http://schemas.microsoft.com/office/spreadsheetml/2009/9/main" objectType="Drop" dropStyle="combo" dx="31" fmlaLink="$F$19" fmlaRange="$Q$1:$Q$3" noThreeD="1" sel="1" val="0"/>
</file>

<file path=xl/ctrlProps/ctrlProp7.xml><?xml version="1.0" encoding="utf-8"?>
<formControlPr xmlns="http://schemas.microsoft.com/office/spreadsheetml/2009/9/main" objectType="Drop" dropStyle="combo" dx="31" fmlaLink="$L$19" fmlaRange="$Q$1:$Q$3" noThreeD="1" sel="1" val="0"/>
</file>

<file path=xl/ctrlProps/ctrlProp8.xml><?xml version="1.0" encoding="utf-8"?>
<formControlPr xmlns="http://schemas.microsoft.com/office/spreadsheetml/2009/9/main" objectType="CheckBox" fmlaLink="$P$18" lockText="1" noThreeD="1"/>
</file>

<file path=xl/ctrlProps/ctrlProp9.xml><?xml version="1.0" encoding="utf-8"?>
<formControlPr xmlns="http://schemas.microsoft.com/office/spreadsheetml/2009/9/main" objectType="CheckBox" fmlaLink="$P$1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Profi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3</xdr:row>
          <xdr:rowOff>6350</xdr:rowOff>
        </xdr:from>
        <xdr:to>
          <xdr:col>11</xdr:col>
          <xdr:colOff>63500</xdr:colOff>
          <xdr:row>4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კაცი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3</xdr:row>
          <xdr:rowOff>19050</xdr:rowOff>
        </xdr:from>
        <xdr:to>
          <xdr:col>12</xdr:col>
          <xdr:colOff>203200</xdr:colOff>
          <xdr:row>4</xdr:row>
          <xdr:rowOff>50800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ქალი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508000</xdr:colOff>
          <xdr:row>0</xdr:row>
          <xdr:rowOff>38100</xdr:rowOff>
        </xdr:from>
        <xdr:to>
          <xdr:col>14</xdr:col>
          <xdr:colOff>393700</xdr:colOff>
          <xdr:row>1</xdr:row>
          <xdr:rowOff>69850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11</xdr:row>
          <xdr:rowOff>0</xdr:rowOff>
        </xdr:from>
        <xdr:to>
          <xdr:col>3</xdr:col>
          <xdr:colOff>31750</xdr:colOff>
          <xdr:row>12</xdr:row>
          <xdr:rowOff>25400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6350</xdr:rowOff>
        </xdr:from>
        <xdr:to>
          <xdr:col>3</xdr:col>
          <xdr:colOff>25400</xdr:colOff>
          <xdr:row>14</xdr:row>
          <xdr:rowOff>31750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584200</xdr:colOff>
          <xdr:row>17</xdr:row>
          <xdr:rowOff>177800</xdr:rowOff>
        </xdr:from>
        <xdr:to>
          <xdr:col>6</xdr:col>
          <xdr:colOff>0</xdr:colOff>
          <xdr:row>19</xdr:row>
          <xdr:rowOff>19050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584200</xdr:colOff>
          <xdr:row>18</xdr:row>
          <xdr:rowOff>6350</xdr:rowOff>
        </xdr:from>
        <xdr:to>
          <xdr:col>12</xdr:col>
          <xdr:colOff>0</xdr:colOff>
          <xdr:row>19</xdr:row>
          <xdr:rowOff>31750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349250</xdr:colOff>
          <xdr:row>19</xdr:row>
          <xdr:rowOff>177800</xdr:rowOff>
        </xdr:from>
        <xdr:to>
          <xdr:col>6</xdr:col>
          <xdr:colOff>431800</xdr:colOff>
          <xdr:row>21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355600</xdr:colOff>
          <xdr:row>21</xdr:row>
          <xdr:rowOff>158750</xdr:rowOff>
        </xdr:from>
        <xdr:to>
          <xdr:col>6</xdr:col>
          <xdr:colOff>552450</xdr:colOff>
          <xdr:row>23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20</xdr:row>
          <xdr:rowOff>6350</xdr:rowOff>
        </xdr:from>
        <xdr:to>
          <xdr:col>10</xdr:col>
          <xdr:colOff>520700</xdr:colOff>
          <xdr:row>21</xdr:row>
          <xdr:rowOff>50800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21</xdr:row>
          <xdr:rowOff>158750</xdr:rowOff>
        </xdr:from>
        <xdr:to>
          <xdr:col>14</xdr:col>
          <xdr:colOff>25400</xdr:colOff>
          <xdr:row>23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25</xdr:row>
          <xdr:rowOff>0</xdr:rowOff>
        </xdr:from>
        <xdr:to>
          <xdr:col>3</xdr:col>
          <xdr:colOff>571500</xdr:colOff>
          <xdr:row>26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355600</xdr:colOff>
          <xdr:row>24</xdr:row>
          <xdr:rowOff>177800</xdr:rowOff>
        </xdr:from>
        <xdr:to>
          <xdr:col>9</xdr:col>
          <xdr:colOff>419100</xdr:colOff>
          <xdr:row>26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368300</xdr:colOff>
          <xdr:row>25</xdr:row>
          <xdr:rowOff>0</xdr:rowOff>
        </xdr:from>
        <xdr:to>
          <xdr:col>14</xdr:col>
          <xdr:colOff>425450</xdr:colOff>
          <xdr:row>26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27</xdr:row>
          <xdr:rowOff>0</xdr:rowOff>
        </xdr:from>
        <xdr:to>
          <xdr:col>8</xdr:col>
          <xdr:colOff>203200</xdr:colOff>
          <xdr:row>28</xdr:row>
          <xdr:rowOff>19050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28</xdr:row>
          <xdr:rowOff>177800</xdr:rowOff>
        </xdr:from>
        <xdr:to>
          <xdr:col>5</xdr:col>
          <xdr:colOff>120650</xdr:colOff>
          <xdr:row>30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368300</xdr:colOff>
          <xdr:row>28</xdr:row>
          <xdr:rowOff>165100</xdr:rowOff>
        </xdr:from>
        <xdr:to>
          <xdr:col>9</xdr:col>
          <xdr:colOff>158750</xdr:colOff>
          <xdr:row>30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30</xdr:row>
          <xdr:rowOff>171450</xdr:rowOff>
        </xdr:from>
        <xdr:to>
          <xdr:col>5</xdr:col>
          <xdr:colOff>311150</xdr:colOff>
          <xdr:row>32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374650</xdr:colOff>
          <xdr:row>30</xdr:row>
          <xdr:rowOff>171450</xdr:rowOff>
        </xdr:from>
        <xdr:to>
          <xdr:col>9</xdr:col>
          <xdr:colOff>120650</xdr:colOff>
          <xdr:row>32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32</xdr:row>
          <xdr:rowOff>171450</xdr:rowOff>
        </xdr:from>
        <xdr:to>
          <xdr:col>5</xdr:col>
          <xdr:colOff>406400</xdr:colOff>
          <xdr:row>34</xdr:row>
          <xdr:rowOff>44450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32</xdr:row>
          <xdr:rowOff>158750</xdr:rowOff>
        </xdr:from>
        <xdr:to>
          <xdr:col>9</xdr:col>
          <xdr:colOff>584200</xdr:colOff>
          <xdr:row>34</xdr:row>
          <xdr:rowOff>69850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34</xdr:row>
          <xdr:rowOff>165100</xdr:rowOff>
        </xdr:from>
        <xdr:to>
          <xdr:col>6</xdr:col>
          <xdr:colOff>196850</xdr:colOff>
          <xdr:row>36</xdr:row>
          <xdr:rowOff>101600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34</xdr:row>
          <xdr:rowOff>146050</xdr:rowOff>
        </xdr:from>
        <xdr:to>
          <xdr:col>10</xdr:col>
          <xdr:colOff>298450</xdr:colOff>
          <xdr:row>36</xdr:row>
          <xdr:rowOff>31750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36</xdr:row>
          <xdr:rowOff>171450</xdr:rowOff>
        </xdr:from>
        <xdr:to>
          <xdr:col>5</xdr:col>
          <xdr:colOff>171450</xdr:colOff>
          <xdr:row>38</xdr:row>
          <xdr:rowOff>63500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38</xdr:row>
          <xdr:rowOff>165100</xdr:rowOff>
        </xdr:from>
        <xdr:to>
          <xdr:col>5</xdr:col>
          <xdr:colOff>444500</xdr:colOff>
          <xdr:row>40</xdr:row>
          <xdr:rowOff>50800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40</xdr:row>
          <xdr:rowOff>165100</xdr:rowOff>
        </xdr:from>
        <xdr:to>
          <xdr:col>5</xdr:col>
          <xdr:colOff>215900</xdr:colOff>
          <xdr:row>42</xdr:row>
          <xdr:rowOff>57150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46</xdr:row>
          <xdr:rowOff>165100</xdr:rowOff>
        </xdr:from>
        <xdr:to>
          <xdr:col>3</xdr:col>
          <xdr:colOff>279400</xdr:colOff>
          <xdr:row>48</xdr:row>
          <xdr:rowOff>50800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46</xdr:row>
          <xdr:rowOff>165100</xdr:rowOff>
        </xdr:from>
        <xdr:to>
          <xdr:col>6</xdr:col>
          <xdr:colOff>311150</xdr:colOff>
          <xdr:row>48</xdr:row>
          <xdr:rowOff>50800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393700</xdr:colOff>
          <xdr:row>46</xdr:row>
          <xdr:rowOff>158750</xdr:rowOff>
        </xdr:from>
        <xdr:to>
          <xdr:col>9</xdr:col>
          <xdr:colOff>596900</xdr:colOff>
          <xdr:row>48</xdr:row>
          <xdr:rowOff>25400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46</xdr:row>
          <xdr:rowOff>165100</xdr:rowOff>
        </xdr:from>
        <xdr:to>
          <xdr:col>14</xdr:col>
          <xdr:colOff>82550</xdr:colOff>
          <xdr:row>48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48</xdr:row>
          <xdr:rowOff>158750</xdr:rowOff>
        </xdr:from>
        <xdr:to>
          <xdr:col>4</xdr:col>
          <xdr:colOff>279400</xdr:colOff>
          <xdr:row>50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387350</xdr:colOff>
          <xdr:row>48</xdr:row>
          <xdr:rowOff>165100</xdr:rowOff>
        </xdr:from>
        <xdr:to>
          <xdr:col>7</xdr:col>
          <xdr:colOff>228600</xdr:colOff>
          <xdr:row>50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48</xdr:row>
          <xdr:rowOff>158750</xdr:rowOff>
        </xdr:from>
        <xdr:to>
          <xdr:col>12</xdr:col>
          <xdr:colOff>177800</xdr:colOff>
          <xdr:row>50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15875</xdr:colOff>
      <xdr:row>51</xdr:row>
      <xdr:rowOff>98425</xdr:rowOff>
    </xdr:from>
    <xdr:to>
      <xdr:col>14</xdr:col>
      <xdr:colOff>473075</xdr:colOff>
      <xdr:row>54</xdr:row>
      <xdr:rowOff>47625</xdr:rowOff>
    </xdr:to>
    <xdr:sp macro="" textlink="">
      <xdr:nvSpPr>
        <xdr:cNvPr id="2" name="Isosceles Tri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8528050" y="9569450"/>
          <a:ext cx="501650" cy="457200"/>
        </a:xfrm>
        <a:prstGeom prst="triangle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36</xdr:row>
          <xdr:rowOff>158750</xdr:rowOff>
        </xdr:from>
        <xdr:to>
          <xdr:col>10</xdr:col>
          <xdr:colOff>304800</xdr:colOff>
          <xdr:row>38</xdr:row>
          <xdr:rowOff>44450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38</xdr:row>
          <xdr:rowOff>171450</xdr:rowOff>
        </xdr:from>
        <xdr:to>
          <xdr:col>10</xdr:col>
          <xdr:colOff>603250</xdr:colOff>
          <xdr:row>40</xdr:row>
          <xdr:rowOff>31750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146049</xdr:colOff>
      <xdr:row>3</xdr:row>
      <xdr:rowOff>127000</xdr:rowOff>
    </xdr:from>
    <xdr:to>
      <xdr:col>4</xdr:col>
      <xdr:colOff>33650</xdr:colOff>
      <xdr:row>11</xdr:row>
      <xdr:rowOff>38100</xdr:rowOff>
    </xdr:to>
    <xdr:pic>
      <xdr:nvPicPr>
        <xdr:cNvPr id="2" name="Picture 1" descr="Identification badge linear icon. Thin line illustration. ID card. Contour  symbol. Vector isolated outline drawing 7226407 Vector Art at Vecteez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3" t="31844" r="15643" b="27095"/>
        <a:stretch/>
      </xdr:blipFill>
      <xdr:spPr bwMode="auto">
        <a:xfrm>
          <a:off x="146049" y="679450"/>
          <a:ext cx="2326001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241301</xdr:colOff>
      <xdr:row>17</xdr:row>
      <xdr:rowOff>19840</xdr:rowOff>
    </xdr:from>
    <xdr:to>
      <xdr:col>12</xdr:col>
      <xdr:colOff>400051</xdr:colOff>
      <xdr:row>28</xdr:row>
      <xdr:rowOff>101982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301" y="3169440"/>
          <a:ext cx="1377950" cy="2133192"/>
        </a:xfrm>
        <a:prstGeom prst="rect">
          <a:avLst/>
        </a:prstGeom>
      </xdr:spPr>
    </xdr:pic>
    <xdr:clientData/>
  </xdr:twoCellAnchor>
  <xdr:twoCellAnchor editAs="oneCell">
    <xdr:from>
      <xdr:col>10</xdr:col>
      <xdr:colOff>252361</xdr:colOff>
      <xdr:row>5</xdr:row>
      <xdr:rowOff>0</xdr:rowOff>
    </xdr:from>
    <xdr:to>
      <xdr:col>12</xdr:col>
      <xdr:colOff>381000</xdr:colOff>
      <xdr:row>15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8361" y="920750"/>
          <a:ext cx="1347839" cy="2000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</xdr:row>
          <xdr:rowOff>177800</xdr:rowOff>
        </xdr:from>
        <xdr:to>
          <xdr:col>2</xdr:col>
          <xdr:colOff>133350</xdr:colOff>
          <xdr:row>7</xdr:row>
          <xdr:rowOff>31750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კაცი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196850</xdr:colOff>
          <xdr:row>6</xdr:row>
          <xdr:rowOff>12700</xdr:rowOff>
        </xdr:from>
        <xdr:to>
          <xdr:col>3</xdr:col>
          <xdr:colOff>260350</xdr:colOff>
          <xdr:row>7</xdr:row>
          <xdr:rowOff>50800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ქალი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565150</xdr:colOff>
          <xdr:row>0</xdr:row>
          <xdr:rowOff>57150</xdr:rowOff>
        </xdr:from>
        <xdr:to>
          <xdr:col>15</xdr:col>
          <xdr:colOff>19050</xdr:colOff>
          <xdr:row>1</xdr:row>
          <xdr:rowOff>95250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</xdr:row>
          <xdr:rowOff>152400</xdr:rowOff>
        </xdr:from>
        <xdr:to>
          <xdr:col>8</xdr:col>
          <xdr:colOff>114300</xdr:colOff>
          <xdr:row>4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561975</xdr:colOff>
      <xdr:row>4</xdr:row>
      <xdr:rowOff>85725</xdr:rowOff>
    </xdr:from>
    <xdr:to>
      <xdr:col>1</xdr:col>
      <xdr:colOff>581025</xdr:colOff>
      <xdr:row>9</xdr:row>
      <xdr:rowOff>160712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/>
      </xdr:blipFill>
      <xdr:spPr>
        <a:xfrm>
          <a:off x="561975" y="822325"/>
          <a:ext cx="628650" cy="995737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4</xdr:row>
      <xdr:rowOff>85725</xdr:rowOff>
    </xdr:from>
    <xdr:to>
      <xdr:col>3</xdr:col>
      <xdr:colOff>352425</xdr:colOff>
      <xdr:row>9</xdr:row>
      <xdr:rowOff>160712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48" t="-927" r="734" b="927"/>
        <a:stretch/>
      </xdr:blipFill>
      <xdr:spPr>
        <a:xfrm>
          <a:off x="1590675" y="822325"/>
          <a:ext cx="628650" cy="995737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11</xdr:row>
      <xdr:rowOff>66675</xdr:rowOff>
    </xdr:from>
    <xdr:to>
      <xdr:col>2</xdr:col>
      <xdr:colOff>228600</xdr:colOff>
      <xdr:row>17</xdr:row>
      <xdr:rowOff>161925</xdr:rowOff>
    </xdr:to>
    <xdr:pic>
      <xdr:nvPicPr>
        <xdr:cNvPr id="7" name="Picture 6" descr="Free vector pack of cigarettes, gas lighter and ashtray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092325"/>
          <a:ext cx="11239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247651</xdr:colOff>
      <xdr:row>13</xdr:row>
      <xdr:rowOff>43370</xdr:rowOff>
    </xdr:from>
    <xdr:to>
      <xdr:col>6</xdr:col>
      <xdr:colOff>361951</xdr:colOff>
      <xdr:row>17</xdr:row>
      <xdr:rowOff>38535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1" y="2437320"/>
          <a:ext cx="723900" cy="731765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400051</xdr:colOff>
      <xdr:row>12</xdr:row>
      <xdr:rowOff>165099</xdr:rowOff>
    </xdr:from>
    <xdr:to>
      <xdr:col>9</xdr:col>
      <xdr:colOff>52831</xdr:colOff>
      <xdr:row>17</xdr:row>
      <xdr:rowOff>133350</xdr:rowOff>
    </xdr:to>
    <xdr:pic>
      <xdr:nvPicPr>
        <xdr:cNvPr id="9" name="Picture 8" descr="Free vector blood infographic concept in flat design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4" t="30456" r="80990" b="5035"/>
        <a:stretch/>
      </xdr:blipFill>
      <xdr:spPr bwMode="auto">
        <a:xfrm>
          <a:off x="5429251" y="2374899"/>
          <a:ext cx="262380" cy="88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485776</xdr:colOff>
      <xdr:row>18</xdr:row>
      <xdr:rowOff>95411</xdr:rowOff>
    </xdr:from>
    <xdr:to>
      <xdr:col>2</xdr:col>
      <xdr:colOff>38100</xdr:colOff>
      <xdr:row>21</xdr:row>
      <xdr:rowOff>177243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3410111"/>
          <a:ext cx="771524" cy="666032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18</xdr:row>
      <xdr:rowOff>133350</xdr:rowOff>
    </xdr:from>
    <xdr:to>
      <xdr:col>7</xdr:col>
      <xdr:colOff>9980</xdr:colOff>
      <xdr:row>22</xdr:row>
      <xdr:rowOff>37283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3448050"/>
          <a:ext cx="724355" cy="6722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33</xdr:row>
      <xdr:rowOff>107950</xdr:rowOff>
    </xdr:from>
    <xdr:to>
      <xdr:col>12</xdr:col>
      <xdr:colOff>209550</xdr:colOff>
      <xdr:row>71</xdr:row>
      <xdr:rowOff>181610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210300"/>
          <a:ext cx="6743700" cy="7071360"/>
        </a:xfrm>
        <a:prstGeom prst="rect">
          <a:avLst/>
        </a:prstGeom>
      </xdr:spPr>
    </xdr:pic>
    <xdr:clientData/>
  </xdr:twoCellAnchor>
  <xdr:oneCellAnchor>
    <xdr:from>
      <xdr:col>1</xdr:col>
      <xdr:colOff>393700</xdr:colOff>
      <xdr:row>34</xdr:row>
      <xdr:rowOff>12700</xdr:rowOff>
    </xdr:from>
    <xdr:ext cx="2950744" cy="25673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022350" y="6299200"/>
          <a:ext cx="2950744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კარდიოვასკულური</a:t>
          </a:r>
          <a:r>
            <a:rPr lang="ka-GE" sz="105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რისკის შემცირებისთვის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365357</xdr:colOff>
      <xdr:row>34</xdr:row>
      <xdr:rowOff>16611</xdr:rowOff>
    </xdr:from>
    <xdr:ext cx="3260829" cy="25673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137257" y="6303111"/>
          <a:ext cx="3260829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თირკმლის უკმარისობის</a:t>
          </a:r>
          <a:r>
            <a:rPr lang="ka-GE" sz="105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რისკის შემცირებისთვის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170765</xdr:colOff>
      <xdr:row>38</xdr:row>
      <xdr:rowOff>51148</xdr:rowOff>
    </xdr:from>
    <xdr:ext cx="2266326" cy="42114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1428065" y="7074248"/>
          <a:ext cx="2266326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სტატინზე დაფუძნებული რეჟიმი</a:t>
          </a:r>
        </a:p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კლასი</a:t>
          </a:r>
          <a:r>
            <a:rPr lang="en-US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I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257676</xdr:colOff>
      <xdr:row>38</xdr:row>
      <xdr:rowOff>32098</xdr:rowOff>
    </xdr:from>
    <xdr:ext cx="2232214" cy="42114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4658226" y="7055198"/>
          <a:ext cx="2232214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აგფ</a:t>
          </a:r>
          <a:r>
            <a:rPr lang="ka-GE" sz="105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ინჰიბიტორი ან არ ბლოკერი</a:t>
          </a:r>
          <a:endParaRPr lang="ka-GE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კლასი</a:t>
          </a:r>
          <a:r>
            <a:rPr lang="en-US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I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476471</xdr:colOff>
      <xdr:row>43</xdr:row>
      <xdr:rowOff>38100</xdr:rowOff>
    </xdr:from>
    <xdr:ext cx="4829912" cy="25673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1733771" y="7981950"/>
          <a:ext cx="4829912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კარდიოვასკულური</a:t>
          </a:r>
          <a:r>
            <a:rPr lang="ka-GE" sz="105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და თირკმლების უკმარისობისრისკის შემცირებისთვის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138351</xdr:colOff>
      <xdr:row>47</xdr:row>
      <xdr:rowOff>70198</xdr:rowOff>
    </xdr:from>
    <xdr:ext cx="1340560" cy="421141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1395651" y="8750648"/>
          <a:ext cx="134056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US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SGLT2</a:t>
          </a:r>
          <a:r>
            <a:rPr lang="en-US" sz="105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ka-GE" sz="105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ინჰიბიტორი</a:t>
          </a:r>
          <a:endParaRPr lang="ka-GE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კლასი</a:t>
          </a:r>
          <a:r>
            <a:rPr lang="en-US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I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342294</xdr:colOff>
      <xdr:row>47</xdr:row>
      <xdr:rowOff>63848</xdr:rowOff>
    </xdr:from>
    <xdr:ext cx="1351780" cy="42114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3485544" y="8744298"/>
          <a:ext cx="135178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წნევის კონტროლი</a:t>
          </a:r>
        </a:p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კლასი</a:t>
          </a:r>
          <a:r>
            <a:rPr lang="en-US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I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9</xdr:col>
      <xdr:colOff>100931</xdr:colOff>
      <xdr:row>47</xdr:row>
      <xdr:rowOff>70198</xdr:rowOff>
    </xdr:from>
    <xdr:ext cx="970908" cy="42114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5758781" y="8750648"/>
          <a:ext cx="970908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ფინერენონი</a:t>
          </a:r>
        </a:p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კლასი</a:t>
          </a:r>
          <a:r>
            <a:rPr lang="en-US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I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224717</xdr:colOff>
      <xdr:row>54</xdr:row>
      <xdr:rowOff>152052</xdr:rowOff>
    </xdr:from>
    <xdr:ext cx="2832763" cy="25673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2739317" y="10121552"/>
          <a:ext cx="2832763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გლუკოზის დამატებითი კონტროლისთვის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9334</xdr:colOff>
      <xdr:row>57</xdr:row>
      <xdr:rowOff>120302</xdr:rowOff>
    </xdr:from>
    <xdr:ext cx="4508157" cy="25673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1895284" y="10642252"/>
          <a:ext cx="4508157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ka-GE" sz="1050" b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კარდიოვასკულური სარგებლის მქონე ჰიპოგლიკემიური</a:t>
          </a:r>
          <a:r>
            <a:rPr lang="ka-GE" sz="1050" b="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მედიკამენტები</a:t>
          </a:r>
          <a:r>
            <a:rPr lang="ka-GE" sz="1050" b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ru-RU" sz="1050" b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522941</xdr:colOff>
      <xdr:row>59</xdr:row>
      <xdr:rowOff>158750</xdr:rowOff>
    </xdr:from>
    <xdr:ext cx="2235099" cy="25673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3037541" y="11049000"/>
          <a:ext cx="2235099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US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GLP-1 </a:t>
          </a:r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რეცეპტორის ანტაგონისტი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50431</xdr:colOff>
      <xdr:row>64</xdr:row>
      <xdr:rowOff>101252</xdr:rowOff>
    </xdr:from>
    <xdr:ext cx="5683287" cy="25673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1307731" y="11912252"/>
          <a:ext cx="5683287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ka-GE" sz="1050" b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ჰიპოგლიკემიური</a:t>
          </a:r>
          <a:r>
            <a:rPr lang="ka-GE" sz="1050" b="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მედიკამენტები ნეიტრალური ან დადებითი კარდიოვასკულური ეფექტით</a:t>
          </a:r>
          <a:r>
            <a:rPr lang="ka-GE" sz="1050" b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ru-RU" sz="1050" b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297331</xdr:colOff>
      <xdr:row>66</xdr:row>
      <xdr:rowOff>101600</xdr:rowOff>
    </xdr:from>
    <xdr:ext cx="2783454" cy="25673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2811931" y="12280900"/>
          <a:ext cx="2783454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US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მ</a:t>
          </a:r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ეტფორმინი (თუ </a:t>
          </a:r>
          <a:r>
            <a:rPr lang="en-US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eGFR&gt;30 </a:t>
          </a:r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მლ/წთ/1.73</a:t>
          </a:r>
          <a:r>
            <a:rPr lang="ka-GE" sz="105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მ2)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404627</xdr:colOff>
      <xdr:row>68</xdr:row>
      <xdr:rowOff>6350</xdr:rowOff>
    </xdr:from>
    <xdr:ext cx="1336969" cy="25673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3547877" y="12553950"/>
          <a:ext cx="1336969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US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DPP-4</a:t>
          </a:r>
          <a:r>
            <a:rPr lang="en-US" sz="105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ka-GE" sz="105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ინჰიბიტორი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44936</xdr:colOff>
      <xdr:row>69</xdr:row>
      <xdr:rowOff>101600</xdr:rowOff>
    </xdr:from>
    <xdr:ext cx="824456" cy="25673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3816836" y="12833350"/>
          <a:ext cx="824456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US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ი</a:t>
          </a:r>
          <a:r>
            <a:rPr lang="ka-GE" sz="105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ნსულინი</a:t>
          </a:r>
          <a:endParaRPr lang="ru-RU" sz="105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260101</xdr:colOff>
      <xdr:row>44</xdr:row>
      <xdr:rowOff>144182</xdr:rowOff>
    </xdr:from>
    <xdr:ext cx="2305299" cy="37407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888751" y="8272182"/>
          <a:ext cx="2305299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ka-GE" sz="900" b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კანაგლიფლოზინი, ემპაგლიფლოზინი ან დაპაგლიფლოზინი</a:t>
          </a:r>
          <a:endParaRPr lang="ru-RU" sz="900" b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115618</xdr:colOff>
      <xdr:row>0</xdr:row>
      <xdr:rowOff>0</xdr:rowOff>
    </xdr:from>
    <xdr:to>
      <xdr:col>12</xdr:col>
      <xdr:colOff>488949</xdr:colOff>
      <xdr:row>36</xdr:row>
      <xdr:rowOff>145764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18" y="0"/>
          <a:ext cx="7688531" cy="6775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495300</xdr:colOff>
      <xdr:row>44</xdr:row>
      <xdr:rowOff>107950</xdr:rowOff>
    </xdr:from>
    <xdr:to>
      <xdr:col>12</xdr:col>
      <xdr:colOff>317500</xdr:colOff>
      <xdr:row>61</xdr:row>
      <xdr:rowOff>120650</xdr:rowOff>
    </xdr:to>
    <xdr:pic>
      <xdr:nvPicPr>
        <xdr:cNvPr id="3" name="Picture 2" descr="figur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8210550"/>
          <a:ext cx="6527800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9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8609-E860-4D69-88FD-4CDB9D928E7A}">
  <dimension ref="A1:U58"/>
  <sheetViews>
    <sheetView tabSelected="1" workbookViewId="0">
      <selection activeCell="K14" sqref="K14"/>
    </sheetView>
  </sheetViews>
  <sheetFormatPr defaultRowHeight="14.5" x14ac:dyDescent="0.35"/>
  <cols>
    <col min="1" max="15" width="8.7265625" style="1"/>
    <col min="16" max="21" width="8.7265625" style="17"/>
    <col min="22" max="16384" width="8.7265625" style="1"/>
  </cols>
  <sheetData>
    <row r="1" spans="1:17" x14ac:dyDescent="0.35">
      <c r="A1" s="187" t="s">
        <v>71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7" ht="15" thickBot="1" x14ac:dyDescent="0.4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Q2" s="17" t="s">
        <v>11</v>
      </c>
    </row>
    <row r="3" spans="1:17" x14ac:dyDescent="0.35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93" t="s">
        <v>72</v>
      </c>
      <c r="O3" s="194"/>
      <c r="Q3" s="17" t="s">
        <v>12</v>
      </c>
    </row>
    <row r="4" spans="1:17" x14ac:dyDescent="0.35">
      <c r="A4" s="144" t="s">
        <v>1</v>
      </c>
      <c r="B4" s="188"/>
      <c r="C4" s="188"/>
      <c r="D4" s="188"/>
      <c r="E4" s="188"/>
      <c r="F4" s="188"/>
      <c r="G4" s="145"/>
      <c r="H4" s="145" t="s">
        <v>2</v>
      </c>
      <c r="I4" s="186"/>
      <c r="J4" s="145" t="s">
        <v>3</v>
      </c>
      <c r="K4" s="145"/>
      <c r="L4" s="145"/>
      <c r="M4" s="145"/>
      <c r="N4" s="191"/>
      <c r="O4" s="192"/>
      <c r="P4" s="16">
        <v>3</v>
      </c>
    </row>
    <row r="5" spans="1:17" x14ac:dyDescent="0.35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6"/>
    </row>
    <row r="6" spans="1:17" x14ac:dyDescent="0.35">
      <c r="A6" s="144" t="s">
        <v>4</v>
      </c>
      <c r="B6" s="145"/>
      <c r="C6" s="186"/>
      <c r="D6" s="145" t="s">
        <v>5</v>
      </c>
      <c r="E6" s="145"/>
      <c r="F6" s="145"/>
      <c r="G6" s="145"/>
      <c r="H6" s="145"/>
      <c r="I6" s="147"/>
      <c r="J6" s="145"/>
      <c r="K6" s="145"/>
      <c r="L6" s="145"/>
      <c r="M6" s="145"/>
      <c r="N6" s="145"/>
      <c r="O6" s="146"/>
      <c r="P6" s="17" t="s">
        <v>19</v>
      </c>
    </row>
    <row r="7" spans="1:17" x14ac:dyDescent="0.35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17" t="s">
        <v>20</v>
      </c>
    </row>
    <row r="8" spans="1:17" x14ac:dyDescent="0.35">
      <c r="A8" s="144" t="s">
        <v>6</v>
      </c>
      <c r="B8" s="145"/>
      <c r="C8" s="145"/>
      <c r="D8" s="186"/>
      <c r="E8" s="145" t="s">
        <v>7</v>
      </c>
      <c r="F8" s="145"/>
      <c r="G8" s="145" t="s">
        <v>8</v>
      </c>
      <c r="H8" s="145"/>
      <c r="I8" s="145"/>
      <c r="J8" s="145"/>
      <c r="K8" s="145"/>
      <c r="L8" s="145"/>
      <c r="M8" s="186"/>
      <c r="N8" s="145" t="s">
        <v>7</v>
      </c>
      <c r="O8" s="146"/>
      <c r="P8" s="17" t="s">
        <v>21</v>
      </c>
    </row>
    <row r="9" spans="1:17" x14ac:dyDescent="0.35">
      <c r="A9" s="144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6"/>
      <c r="P9" s="17" t="s">
        <v>22</v>
      </c>
    </row>
    <row r="10" spans="1:17" x14ac:dyDescent="0.35">
      <c r="A10" s="144" t="s">
        <v>9</v>
      </c>
      <c r="B10" s="145"/>
      <c r="C10" s="145"/>
      <c r="D10" s="145"/>
      <c r="E10" s="145"/>
      <c r="F10" s="145"/>
      <c r="G10" s="148">
        <f>D8-M8</f>
        <v>0</v>
      </c>
      <c r="H10" s="145" t="s">
        <v>7</v>
      </c>
      <c r="I10" s="145"/>
      <c r="J10" s="145"/>
      <c r="K10" s="145"/>
      <c r="L10" s="145"/>
      <c r="M10" s="145"/>
      <c r="N10" s="145"/>
      <c r="O10" s="146"/>
    </row>
    <row r="11" spans="1:17" x14ac:dyDescent="0.35">
      <c r="A11" s="144"/>
      <c r="B11" s="145"/>
      <c r="C11" s="149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6"/>
    </row>
    <row r="12" spans="1:17" x14ac:dyDescent="0.35">
      <c r="A12" s="144" t="s">
        <v>10</v>
      </c>
      <c r="B12" s="145"/>
      <c r="C12" s="149">
        <v>1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7" x14ac:dyDescent="0.35">
      <c r="A13" s="144"/>
      <c r="B13" s="145"/>
      <c r="C13" s="149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6"/>
    </row>
    <row r="14" spans="1:17" x14ac:dyDescent="0.35">
      <c r="A14" s="144" t="s">
        <v>13</v>
      </c>
      <c r="B14" s="145"/>
      <c r="C14" s="149">
        <v>1</v>
      </c>
      <c r="D14" s="145"/>
      <c r="E14" s="145" t="s">
        <v>14</v>
      </c>
      <c r="F14" s="145"/>
      <c r="G14" s="145"/>
      <c r="H14" s="186"/>
      <c r="I14" s="145" t="s">
        <v>3</v>
      </c>
      <c r="J14" s="147" t="s">
        <v>16</v>
      </c>
      <c r="K14" s="186"/>
      <c r="L14" s="145" t="s">
        <v>17</v>
      </c>
      <c r="M14" s="145"/>
      <c r="N14" s="145"/>
      <c r="O14" s="146"/>
    </row>
    <row r="15" spans="1:17" x14ac:dyDescent="0.35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6"/>
    </row>
    <row r="16" spans="1:17" ht="15" x14ac:dyDescent="0.35">
      <c r="A16" s="144" t="s">
        <v>15</v>
      </c>
      <c r="B16" s="150" t="str">
        <f>CKD!D27</f>
        <v/>
      </c>
      <c r="C16" s="145" t="s">
        <v>398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6"/>
    </row>
    <row r="17" spans="1:17" ht="15" thickBot="1" x14ac:dyDescent="0.4">
      <c r="A17" s="151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3"/>
    </row>
    <row r="18" spans="1:17" x14ac:dyDescent="0.35">
      <c r="A18" s="142"/>
      <c r="B18" s="143"/>
      <c r="C18" s="143"/>
      <c r="D18" s="143"/>
      <c r="E18" s="143"/>
      <c r="F18" s="154"/>
      <c r="G18" s="143"/>
      <c r="H18" s="143"/>
      <c r="I18" s="143"/>
      <c r="J18" s="143"/>
      <c r="K18" s="143"/>
      <c r="L18" s="154"/>
      <c r="M18" s="143"/>
      <c r="N18" s="143"/>
      <c r="O18" s="155"/>
      <c r="P18" s="16" t="b">
        <v>0</v>
      </c>
    </row>
    <row r="19" spans="1:17" x14ac:dyDescent="0.35">
      <c r="A19" s="144" t="s">
        <v>18</v>
      </c>
      <c r="B19" s="145"/>
      <c r="C19" s="145"/>
      <c r="D19" s="145"/>
      <c r="E19" s="145"/>
      <c r="F19" s="149">
        <v>1</v>
      </c>
      <c r="G19" s="145"/>
      <c r="H19" s="145" t="s">
        <v>23</v>
      </c>
      <c r="I19" s="145"/>
      <c r="J19" s="145"/>
      <c r="K19" s="145"/>
      <c r="L19" s="149">
        <v>1</v>
      </c>
      <c r="M19" s="145"/>
      <c r="N19" s="145"/>
      <c r="O19" s="146"/>
      <c r="P19" s="16" t="b">
        <v>0</v>
      </c>
    </row>
    <row r="20" spans="1:17" x14ac:dyDescent="0.35">
      <c r="A20" s="144"/>
      <c r="B20" s="145"/>
      <c r="C20" s="145"/>
      <c r="D20" s="145"/>
      <c r="E20" s="149"/>
      <c r="F20" s="145"/>
      <c r="G20" s="145"/>
      <c r="H20" s="145"/>
      <c r="I20" s="145"/>
      <c r="J20" s="145"/>
      <c r="K20" s="149"/>
      <c r="L20" s="145"/>
      <c r="M20" s="145"/>
      <c r="N20" s="145"/>
      <c r="O20" s="146"/>
      <c r="P20" s="16" t="b">
        <v>0</v>
      </c>
    </row>
    <row r="21" spans="1:17" x14ac:dyDescent="0.35">
      <c r="A21" s="144" t="s">
        <v>24</v>
      </c>
      <c r="B21" s="145"/>
      <c r="C21" s="145"/>
      <c r="D21" s="145"/>
      <c r="E21" s="156"/>
      <c r="F21" s="156" t="s">
        <v>19</v>
      </c>
      <c r="G21" s="156"/>
      <c r="H21" s="145"/>
      <c r="I21" s="156" t="s">
        <v>21</v>
      </c>
      <c r="J21" s="156"/>
      <c r="K21" s="156"/>
      <c r="L21" s="145"/>
      <c r="M21" s="145"/>
      <c r="N21" s="145"/>
      <c r="O21" s="146"/>
      <c r="P21" s="16" t="b">
        <v>0</v>
      </c>
    </row>
    <row r="22" spans="1:17" x14ac:dyDescent="0.35">
      <c r="A22" s="144"/>
      <c r="B22" s="145"/>
      <c r="C22" s="145"/>
      <c r="D22" s="145"/>
      <c r="E22" s="156"/>
      <c r="F22" s="156"/>
      <c r="G22" s="156"/>
      <c r="H22" s="156"/>
      <c r="I22" s="156"/>
      <c r="J22" s="156"/>
      <c r="K22" s="156"/>
      <c r="L22" s="145"/>
      <c r="M22" s="145"/>
      <c r="N22" s="145"/>
      <c r="O22" s="146"/>
    </row>
    <row r="23" spans="1:17" x14ac:dyDescent="0.35">
      <c r="A23" s="144"/>
      <c r="B23" s="145"/>
      <c r="C23" s="145"/>
      <c r="D23" s="145"/>
      <c r="E23" s="156"/>
      <c r="F23" s="156" t="s">
        <v>20</v>
      </c>
      <c r="G23" s="156"/>
      <c r="H23" s="156"/>
      <c r="I23" s="156" t="s">
        <v>25</v>
      </c>
      <c r="J23" s="156"/>
      <c r="K23" s="156"/>
      <c r="L23" s="145"/>
      <c r="M23" s="145"/>
      <c r="N23" s="145"/>
      <c r="O23" s="146"/>
    </row>
    <row r="24" spans="1:17" ht="15" thickBot="1" x14ac:dyDescent="0.4">
      <c r="A24" s="151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3"/>
    </row>
    <row r="25" spans="1:17" x14ac:dyDescent="0.35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55"/>
    </row>
    <row r="26" spans="1:17" x14ac:dyDescent="0.35">
      <c r="A26" s="157" t="s">
        <v>26</v>
      </c>
      <c r="B26" s="145"/>
      <c r="C26" s="145" t="s">
        <v>27</v>
      </c>
      <c r="D26" s="145"/>
      <c r="E26" s="145"/>
      <c r="F26" s="145" t="s">
        <v>28</v>
      </c>
      <c r="G26" s="145"/>
      <c r="H26" s="145"/>
      <c r="I26" s="145"/>
      <c r="J26" s="145"/>
      <c r="K26" s="145"/>
      <c r="L26" s="145" t="s">
        <v>29</v>
      </c>
      <c r="M26" s="145"/>
      <c r="N26" s="145"/>
      <c r="O26" s="146"/>
      <c r="P26" s="16" t="b">
        <v>0</v>
      </c>
      <c r="Q26" s="17" t="s">
        <v>30</v>
      </c>
    </row>
    <row r="27" spans="1:17" x14ac:dyDescent="0.35">
      <c r="A27" s="144"/>
      <c r="B27" s="145"/>
      <c r="C27" s="145"/>
      <c r="D27" s="145"/>
      <c r="E27" s="149"/>
      <c r="F27" s="145"/>
      <c r="G27" s="145"/>
      <c r="H27" s="145"/>
      <c r="I27" s="145"/>
      <c r="J27" s="145"/>
      <c r="K27" s="145"/>
      <c r="L27" s="145"/>
      <c r="M27" s="145"/>
      <c r="N27" s="145"/>
      <c r="O27" s="146"/>
      <c r="P27" s="16" t="b">
        <v>0</v>
      </c>
      <c r="Q27" s="17" t="s">
        <v>31</v>
      </c>
    </row>
    <row r="28" spans="1:17" x14ac:dyDescent="0.35">
      <c r="A28" s="189" t="s">
        <v>35</v>
      </c>
      <c r="B28" s="190"/>
      <c r="C28" s="190"/>
      <c r="D28" s="145"/>
      <c r="E28" s="149">
        <v>1</v>
      </c>
      <c r="F28" s="145"/>
      <c r="G28" s="145"/>
      <c r="H28" s="145"/>
      <c r="I28" s="145"/>
      <c r="J28" s="145"/>
      <c r="K28" s="145"/>
      <c r="L28" s="145"/>
      <c r="M28" s="145"/>
      <c r="N28" s="145"/>
      <c r="O28" s="146"/>
      <c r="P28" s="16" t="b">
        <v>0</v>
      </c>
      <c r="Q28" s="17" t="s">
        <v>32</v>
      </c>
    </row>
    <row r="29" spans="1:17" x14ac:dyDescent="0.35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6"/>
      <c r="Q29" s="17" t="s">
        <v>33</v>
      </c>
    </row>
    <row r="30" spans="1:17" x14ac:dyDescent="0.35">
      <c r="A30" s="189" t="s">
        <v>39</v>
      </c>
      <c r="B30" s="190"/>
      <c r="C30" s="190"/>
      <c r="D30" s="145"/>
      <c r="E30" s="145" t="s">
        <v>41</v>
      </c>
      <c r="F30" s="145"/>
      <c r="G30" s="145"/>
      <c r="H30" s="145"/>
      <c r="I30" s="145" t="s">
        <v>402</v>
      </c>
      <c r="J30" s="145"/>
      <c r="K30" s="145"/>
      <c r="L30" s="145"/>
      <c r="M30" s="145"/>
      <c r="N30" s="145"/>
      <c r="O30" s="146"/>
      <c r="Q30" s="17" t="s">
        <v>34</v>
      </c>
    </row>
    <row r="31" spans="1:17" x14ac:dyDescent="0.35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6"/>
      <c r="Q31" s="17" t="s">
        <v>36</v>
      </c>
    </row>
    <row r="32" spans="1:17" x14ac:dyDescent="0.35">
      <c r="A32" s="144"/>
      <c r="B32" s="145"/>
      <c r="C32" s="145"/>
      <c r="D32" s="145"/>
      <c r="E32" s="145" t="s">
        <v>45</v>
      </c>
      <c r="F32" s="145"/>
      <c r="G32" s="145"/>
      <c r="H32" s="145"/>
      <c r="I32" s="145" t="s">
        <v>46</v>
      </c>
      <c r="J32" s="145"/>
      <c r="K32" s="145"/>
      <c r="L32" s="145"/>
      <c r="M32" s="145"/>
      <c r="N32" s="145"/>
      <c r="O32" s="146"/>
      <c r="Q32" s="17" t="s">
        <v>37</v>
      </c>
    </row>
    <row r="33" spans="1:17" x14ac:dyDescent="0.35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6"/>
      <c r="Q33" s="17" t="s">
        <v>38</v>
      </c>
    </row>
    <row r="34" spans="1:17" x14ac:dyDescent="0.35">
      <c r="A34" s="144"/>
      <c r="B34" s="145"/>
      <c r="C34" s="145"/>
      <c r="D34" s="145"/>
      <c r="E34" s="145" t="s">
        <v>400</v>
      </c>
      <c r="F34" s="145"/>
      <c r="G34" s="145"/>
      <c r="H34" s="145"/>
      <c r="I34" s="145" t="s">
        <v>403</v>
      </c>
      <c r="J34" s="145"/>
      <c r="K34" s="145"/>
      <c r="L34" s="145"/>
      <c r="M34" s="145"/>
      <c r="N34" s="145"/>
      <c r="O34" s="146"/>
    </row>
    <row r="35" spans="1:17" x14ac:dyDescent="0.35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6"/>
    </row>
    <row r="36" spans="1:17" x14ac:dyDescent="0.35">
      <c r="A36" s="144"/>
      <c r="B36" s="145"/>
      <c r="C36" s="145"/>
      <c r="D36" s="145"/>
      <c r="E36" s="145" t="s">
        <v>42</v>
      </c>
      <c r="F36" s="145"/>
      <c r="G36" s="145"/>
      <c r="H36" s="145"/>
      <c r="I36" s="145" t="s">
        <v>43</v>
      </c>
      <c r="J36" s="145"/>
      <c r="K36" s="145"/>
      <c r="L36" s="145"/>
      <c r="M36" s="145"/>
      <c r="N36" s="145"/>
      <c r="O36" s="146"/>
    </row>
    <row r="37" spans="1:17" x14ac:dyDescent="0.35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6"/>
    </row>
    <row r="38" spans="1:17" x14ac:dyDescent="0.35">
      <c r="A38" s="144"/>
      <c r="B38" s="145"/>
      <c r="C38" s="145"/>
      <c r="D38" s="145"/>
      <c r="E38" s="145" t="s">
        <v>401</v>
      </c>
      <c r="F38" s="145"/>
      <c r="G38" s="145"/>
      <c r="H38" s="145"/>
      <c r="I38" s="145" t="s">
        <v>44</v>
      </c>
      <c r="J38" s="145"/>
      <c r="K38" s="145"/>
      <c r="L38" s="145"/>
      <c r="M38" s="145"/>
      <c r="N38" s="145"/>
      <c r="O38" s="146"/>
      <c r="P38" s="16" t="b">
        <v>0</v>
      </c>
    </row>
    <row r="39" spans="1:17" x14ac:dyDescent="0.35">
      <c r="A39" s="144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6"/>
      <c r="P39" s="16" t="b">
        <v>0</v>
      </c>
    </row>
    <row r="40" spans="1:17" x14ac:dyDescent="0.35">
      <c r="A40" s="144"/>
      <c r="B40" s="145"/>
      <c r="C40" s="145"/>
      <c r="D40" s="145"/>
      <c r="E40" s="145" t="s">
        <v>40</v>
      </c>
      <c r="F40" s="145"/>
      <c r="G40" s="145"/>
      <c r="H40" s="145"/>
      <c r="I40" s="145" t="s">
        <v>420</v>
      </c>
      <c r="J40" s="145"/>
      <c r="K40" s="145"/>
      <c r="L40" s="145"/>
      <c r="M40" s="145"/>
      <c r="N40" s="145"/>
      <c r="O40" s="146"/>
      <c r="P40" s="16" t="b">
        <v>0</v>
      </c>
    </row>
    <row r="41" spans="1:17" x14ac:dyDescent="0.35">
      <c r="A41" s="144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6"/>
      <c r="P41" s="16" t="b">
        <v>0</v>
      </c>
    </row>
    <row r="42" spans="1:17" x14ac:dyDescent="0.35">
      <c r="A42" s="144"/>
      <c r="B42" s="145"/>
      <c r="C42" s="145"/>
      <c r="D42" s="145"/>
      <c r="E42" s="145" t="s">
        <v>47</v>
      </c>
      <c r="F42" s="145"/>
      <c r="G42" s="145"/>
      <c r="H42" s="145"/>
      <c r="I42" s="145"/>
      <c r="J42" s="145"/>
      <c r="K42" s="145"/>
      <c r="L42" s="145"/>
      <c r="M42" s="145"/>
      <c r="N42" s="145"/>
      <c r="O42" s="146"/>
      <c r="P42" s="16" t="b">
        <v>0</v>
      </c>
    </row>
    <row r="43" spans="1:17" x14ac:dyDescent="0.35">
      <c r="A43" s="144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6"/>
      <c r="P43" s="16" t="b">
        <v>0</v>
      </c>
    </row>
    <row r="44" spans="1:17" ht="15" thickBot="1" x14ac:dyDescent="0.4">
      <c r="A44" s="151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3"/>
      <c r="P44" s="16" t="b">
        <v>0</v>
      </c>
    </row>
    <row r="45" spans="1:17" x14ac:dyDescent="0.35">
      <c r="A45" s="142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55"/>
      <c r="P45" s="16" t="b">
        <v>0</v>
      </c>
    </row>
    <row r="46" spans="1:17" x14ac:dyDescent="0.35">
      <c r="A46" s="189" t="s">
        <v>48</v>
      </c>
      <c r="B46" s="190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6"/>
      <c r="P46" s="16" t="b">
        <v>0</v>
      </c>
    </row>
    <row r="47" spans="1:17" x14ac:dyDescent="0.35">
      <c r="A47" s="144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6"/>
      <c r="P47" s="16" t="b">
        <v>0</v>
      </c>
    </row>
    <row r="48" spans="1:17" x14ac:dyDescent="0.35">
      <c r="A48" s="144"/>
      <c r="B48" s="145" t="s">
        <v>49</v>
      </c>
      <c r="C48" s="145"/>
      <c r="D48" s="145"/>
      <c r="E48" s="145" t="s">
        <v>50</v>
      </c>
      <c r="F48" s="145"/>
      <c r="G48" s="145"/>
      <c r="H48" s="145" t="s">
        <v>51</v>
      </c>
      <c r="I48" s="145"/>
      <c r="J48" s="145"/>
      <c r="K48" s="145"/>
      <c r="L48" s="145" t="s">
        <v>52</v>
      </c>
      <c r="M48" s="145"/>
      <c r="N48" s="145"/>
      <c r="O48" s="146"/>
      <c r="P48" s="16" t="b">
        <v>0</v>
      </c>
    </row>
    <row r="49" spans="1:16" x14ac:dyDescent="0.35">
      <c r="A49" s="144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6"/>
      <c r="P49" s="16" t="b">
        <v>0</v>
      </c>
    </row>
    <row r="50" spans="1:16" x14ac:dyDescent="0.35">
      <c r="A50" s="144"/>
      <c r="B50" s="145" t="s">
        <v>53</v>
      </c>
      <c r="C50" s="145"/>
      <c r="D50" s="145"/>
      <c r="E50" s="145"/>
      <c r="F50" s="145" t="s">
        <v>54</v>
      </c>
      <c r="G50" s="145"/>
      <c r="H50" s="145"/>
      <c r="I50" s="145" t="s">
        <v>55</v>
      </c>
      <c r="J50" s="145"/>
      <c r="K50" s="145"/>
      <c r="L50" s="145"/>
      <c r="M50" s="145"/>
      <c r="N50" s="145"/>
      <c r="O50" s="146"/>
      <c r="P50" s="16" t="b">
        <v>0</v>
      </c>
    </row>
    <row r="51" spans="1:16" ht="15" thickBot="1" x14ac:dyDescent="0.4">
      <c r="A51" s="151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3"/>
    </row>
    <row r="52" spans="1:16" x14ac:dyDescent="0.35">
      <c r="P52" s="16" t="b">
        <v>0</v>
      </c>
    </row>
    <row r="53" spans="1:16" x14ac:dyDescent="0.35">
      <c r="A53" s="1" t="s">
        <v>399</v>
      </c>
      <c r="P53" s="16" t="b">
        <v>0</v>
      </c>
    </row>
    <row r="54" spans="1:16" x14ac:dyDescent="0.35">
      <c r="P54" s="16" t="b">
        <v>0</v>
      </c>
    </row>
    <row r="55" spans="1:16" x14ac:dyDescent="0.35">
      <c r="P55" s="16" t="b">
        <v>0</v>
      </c>
    </row>
    <row r="56" spans="1:16" x14ac:dyDescent="0.35">
      <c r="P56" s="16" t="b">
        <v>0</v>
      </c>
    </row>
    <row r="57" spans="1:16" x14ac:dyDescent="0.35">
      <c r="P57" s="16" t="b">
        <v>0</v>
      </c>
    </row>
    <row r="58" spans="1:16" x14ac:dyDescent="0.35">
      <c r="P58" s="16" t="b">
        <v>0</v>
      </c>
    </row>
  </sheetData>
  <sheetProtection algorithmName="SHA-512" hashValue="oRCfvD6tpoDGy+ZBwZaH/WwKFoktGlCuMjC37ll59NqYivcnJ6ENbxK+ieBBwHUuYILHlfuPadksFPP5muXCFw==" saltValue="KLQMTzSzoZ0pYlfyXuVJeQ==" spinCount="100000" sheet="1" objects="1" scenarios="1"/>
  <mergeCells count="7">
    <mergeCell ref="A1:O2"/>
    <mergeCell ref="B4:F4"/>
    <mergeCell ref="A28:C28"/>
    <mergeCell ref="A30:C30"/>
    <mergeCell ref="A46:B46"/>
    <mergeCell ref="N4:O4"/>
    <mergeCell ref="N3:O3"/>
  </mergeCells>
  <conditionalFormatting sqref="B16">
    <cfRule type="containsErrors" dxfId="50" priority="1">
      <formula>ISERROR(B16)</formula>
    </cfRule>
  </conditionalFormatting>
  <pageMargins left="0.7" right="0.7" top="0.75" bottom="0.75" header="0.3" footer="0.3"/>
  <pageSetup paperSize="9" orientation="landscape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177800</xdr:colOff>
                    <xdr:row>3</xdr:row>
                    <xdr:rowOff>6350</xdr:rowOff>
                  </from>
                  <to>
                    <xdr:col>11</xdr:col>
                    <xdr:colOff>63500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11</xdr:col>
                    <xdr:colOff>317500</xdr:colOff>
                    <xdr:row>3</xdr:row>
                    <xdr:rowOff>19050</xdr:rowOff>
                  </from>
                  <to>
                    <xdr:col>12</xdr:col>
                    <xdr:colOff>203200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13</xdr:col>
                    <xdr:colOff>508000</xdr:colOff>
                    <xdr:row>0</xdr:row>
                    <xdr:rowOff>38100</xdr:rowOff>
                  </from>
                  <to>
                    <xdr:col>14</xdr:col>
                    <xdr:colOff>393700</xdr:colOff>
                    <xdr:row>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2</xdr:col>
                    <xdr:colOff>6350</xdr:colOff>
                    <xdr:row>11</xdr:row>
                    <xdr:rowOff>0</xdr:rowOff>
                  </from>
                  <to>
                    <xdr:col>3</xdr:col>
                    <xdr:colOff>31750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6350</xdr:rowOff>
                  </from>
                  <to>
                    <xdr:col>3</xdr:col>
                    <xdr:colOff>25400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584200</xdr:colOff>
                    <xdr:row>17</xdr:row>
                    <xdr:rowOff>177800</xdr:rowOff>
                  </from>
                  <to>
                    <xdr:col>6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 moveWithCells="1">
                  <from>
                    <xdr:col>10</xdr:col>
                    <xdr:colOff>584200</xdr:colOff>
                    <xdr:row>18</xdr:row>
                    <xdr:rowOff>6350</xdr:rowOff>
                  </from>
                  <to>
                    <xdr:col>12</xdr:col>
                    <xdr:colOff>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349250</xdr:colOff>
                    <xdr:row>19</xdr:row>
                    <xdr:rowOff>177800</xdr:rowOff>
                  </from>
                  <to>
                    <xdr:col>6</xdr:col>
                    <xdr:colOff>431800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4</xdr:col>
                    <xdr:colOff>355600</xdr:colOff>
                    <xdr:row>21</xdr:row>
                    <xdr:rowOff>158750</xdr:rowOff>
                  </from>
                  <to>
                    <xdr:col>6</xdr:col>
                    <xdr:colOff>552450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7</xdr:col>
                    <xdr:colOff>361950</xdr:colOff>
                    <xdr:row>20</xdr:row>
                    <xdr:rowOff>6350</xdr:rowOff>
                  </from>
                  <to>
                    <xdr:col>10</xdr:col>
                    <xdr:colOff>520700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7</xdr:col>
                    <xdr:colOff>361950</xdr:colOff>
                    <xdr:row>21</xdr:row>
                    <xdr:rowOff>158750</xdr:rowOff>
                  </from>
                  <to>
                    <xdr:col>14</xdr:col>
                    <xdr:colOff>25400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</xdr:col>
                    <xdr:colOff>374650</xdr:colOff>
                    <xdr:row>25</xdr:row>
                    <xdr:rowOff>0</xdr:rowOff>
                  </from>
                  <to>
                    <xdr:col>3</xdr:col>
                    <xdr:colOff>571500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4</xdr:col>
                    <xdr:colOff>355600</xdr:colOff>
                    <xdr:row>24</xdr:row>
                    <xdr:rowOff>177800</xdr:rowOff>
                  </from>
                  <to>
                    <xdr:col>9</xdr:col>
                    <xdr:colOff>419100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10</xdr:col>
                    <xdr:colOff>368300</xdr:colOff>
                    <xdr:row>25</xdr:row>
                    <xdr:rowOff>0</xdr:rowOff>
                  </from>
                  <to>
                    <xdr:col>14</xdr:col>
                    <xdr:colOff>425450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Drop Down 19">
              <controlPr defaultSize="0" autoLine="0" autoPict="0">
                <anchor moveWithCells="1">
                  <from>
                    <xdr:col>3</xdr:col>
                    <xdr:colOff>228600</xdr:colOff>
                    <xdr:row>27</xdr:row>
                    <xdr:rowOff>0</xdr:rowOff>
                  </from>
                  <to>
                    <xdr:col>8</xdr:col>
                    <xdr:colOff>203200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3</xdr:col>
                    <xdr:colOff>387350</xdr:colOff>
                    <xdr:row>28</xdr:row>
                    <xdr:rowOff>177800</xdr:rowOff>
                  </from>
                  <to>
                    <xdr:col>5</xdr:col>
                    <xdr:colOff>120650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368300</xdr:colOff>
                    <xdr:row>28</xdr:row>
                    <xdr:rowOff>165100</xdr:rowOff>
                  </from>
                  <to>
                    <xdr:col>9</xdr:col>
                    <xdr:colOff>158750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3</xdr:col>
                    <xdr:colOff>387350</xdr:colOff>
                    <xdr:row>30</xdr:row>
                    <xdr:rowOff>171450</xdr:rowOff>
                  </from>
                  <to>
                    <xdr:col>5</xdr:col>
                    <xdr:colOff>311150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374650</xdr:colOff>
                    <xdr:row>30</xdr:row>
                    <xdr:rowOff>171450</xdr:rowOff>
                  </from>
                  <to>
                    <xdr:col>9</xdr:col>
                    <xdr:colOff>120650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3</xdr:col>
                    <xdr:colOff>387350</xdr:colOff>
                    <xdr:row>32</xdr:row>
                    <xdr:rowOff>171450</xdr:rowOff>
                  </from>
                  <to>
                    <xdr:col>5</xdr:col>
                    <xdr:colOff>406400</xdr:colOff>
                    <xdr:row>34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7</xdr:col>
                    <xdr:colOff>381000</xdr:colOff>
                    <xdr:row>32</xdr:row>
                    <xdr:rowOff>158750</xdr:rowOff>
                  </from>
                  <to>
                    <xdr:col>9</xdr:col>
                    <xdr:colOff>584200</xdr:colOff>
                    <xdr:row>34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3</xdr:col>
                    <xdr:colOff>387350</xdr:colOff>
                    <xdr:row>34</xdr:row>
                    <xdr:rowOff>165100</xdr:rowOff>
                  </from>
                  <to>
                    <xdr:col>6</xdr:col>
                    <xdr:colOff>196850</xdr:colOff>
                    <xdr:row>36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7</xdr:col>
                    <xdr:colOff>381000</xdr:colOff>
                    <xdr:row>34</xdr:row>
                    <xdr:rowOff>146050</xdr:rowOff>
                  </from>
                  <to>
                    <xdr:col>10</xdr:col>
                    <xdr:colOff>298450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3</xdr:col>
                    <xdr:colOff>393700</xdr:colOff>
                    <xdr:row>36</xdr:row>
                    <xdr:rowOff>171450</xdr:rowOff>
                  </from>
                  <to>
                    <xdr:col>5</xdr:col>
                    <xdr:colOff>171450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3</xdr:col>
                    <xdr:colOff>387350</xdr:colOff>
                    <xdr:row>38</xdr:row>
                    <xdr:rowOff>165100</xdr:rowOff>
                  </from>
                  <to>
                    <xdr:col>5</xdr:col>
                    <xdr:colOff>444500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3</xdr:col>
                    <xdr:colOff>381000</xdr:colOff>
                    <xdr:row>40</xdr:row>
                    <xdr:rowOff>165100</xdr:rowOff>
                  </from>
                  <to>
                    <xdr:col>5</xdr:col>
                    <xdr:colOff>215900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0</xdr:col>
                    <xdr:colOff>361950</xdr:colOff>
                    <xdr:row>46</xdr:row>
                    <xdr:rowOff>165100</xdr:rowOff>
                  </from>
                  <to>
                    <xdr:col>3</xdr:col>
                    <xdr:colOff>279400</xdr:colOff>
                    <xdr:row>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3</xdr:col>
                    <xdr:colOff>393700</xdr:colOff>
                    <xdr:row>46</xdr:row>
                    <xdr:rowOff>165100</xdr:rowOff>
                  </from>
                  <to>
                    <xdr:col>6</xdr:col>
                    <xdr:colOff>311150</xdr:colOff>
                    <xdr:row>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6</xdr:col>
                    <xdr:colOff>393700</xdr:colOff>
                    <xdr:row>46</xdr:row>
                    <xdr:rowOff>158750</xdr:rowOff>
                  </from>
                  <to>
                    <xdr:col>9</xdr:col>
                    <xdr:colOff>596900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10</xdr:col>
                    <xdr:colOff>355600</xdr:colOff>
                    <xdr:row>46</xdr:row>
                    <xdr:rowOff>165100</xdr:rowOff>
                  </from>
                  <to>
                    <xdr:col>14</xdr:col>
                    <xdr:colOff>82550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defaultSize="0" autoFill="0" autoLine="0" autoPict="0">
                <anchor moveWithCells="1">
                  <from>
                    <xdr:col>0</xdr:col>
                    <xdr:colOff>361950</xdr:colOff>
                    <xdr:row>48</xdr:row>
                    <xdr:rowOff>158750</xdr:rowOff>
                  </from>
                  <to>
                    <xdr:col>4</xdr:col>
                    <xdr:colOff>279400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defaultSize="0" autoFill="0" autoLine="0" autoPict="0">
                <anchor moveWithCells="1">
                  <from>
                    <xdr:col>4</xdr:col>
                    <xdr:colOff>387350</xdr:colOff>
                    <xdr:row>48</xdr:row>
                    <xdr:rowOff>165100</xdr:rowOff>
                  </from>
                  <to>
                    <xdr:col>7</xdr:col>
                    <xdr:colOff>228600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7</xdr:col>
                    <xdr:colOff>387350</xdr:colOff>
                    <xdr:row>48</xdr:row>
                    <xdr:rowOff>158750</xdr:rowOff>
                  </from>
                  <to>
                    <xdr:col>12</xdr:col>
                    <xdr:colOff>177800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Check Box 40">
              <controlPr defaultSize="0" autoFill="0" autoLine="0" autoPict="0">
                <anchor moveWithCells="1">
                  <from>
                    <xdr:col>7</xdr:col>
                    <xdr:colOff>387350</xdr:colOff>
                    <xdr:row>36</xdr:row>
                    <xdr:rowOff>158750</xdr:rowOff>
                  </from>
                  <to>
                    <xdr:col>10</xdr:col>
                    <xdr:colOff>304800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7</xdr:col>
                    <xdr:colOff>387350</xdr:colOff>
                    <xdr:row>38</xdr:row>
                    <xdr:rowOff>171450</xdr:rowOff>
                  </from>
                  <to>
                    <xdr:col>10</xdr:col>
                    <xdr:colOff>603250</xdr:colOff>
                    <xdr:row>40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CFFF-9D23-4E2C-9E75-3B0419E933F9}">
  <dimension ref="O2:O36"/>
  <sheetViews>
    <sheetView topLeftCell="B1" workbookViewId="0">
      <selection activeCell="O3" sqref="O3"/>
    </sheetView>
  </sheetViews>
  <sheetFormatPr defaultRowHeight="14.5" x14ac:dyDescent="0.35"/>
  <sheetData>
    <row r="2" spans="15:15" x14ac:dyDescent="0.35">
      <c r="O2" s="136" t="str">
        <f>IF(AND(Profile!K30=3,Profile!K24=3),"არ არის რეკომენდებული არასტეროიდის მიღება",IF(AND(Profile!K30=3,Profile!K25=4),"არ არის რეკომენდებული არასტეროიდის მიღება",""))</f>
        <v/>
      </c>
    </row>
    <row r="6" spans="15:15" x14ac:dyDescent="0.35">
      <c r="O6" s="136" t="str">
        <f>IF(AND(Profile!K30=3,Profile!K24=2),"არ არის რეკომენდებული არასტეროიდის მიღება",IF(AND(Profile!K30=3,Profile!K25=3),"არ არის რეკომენდებული არასტეროიდის მიღება",""))</f>
        <v/>
      </c>
    </row>
    <row r="9" spans="15:15" x14ac:dyDescent="0.35">
      <c r="O9" s="136" t="str">
        <f>IF(AND(Profile!K30=3,Profile!K24=1),"კოქსიბი + პტი",IF(AND(Profile!K30=3,Profile!K25=1),"კოქსიბი + პტი",IF(AND(Profile!K30=3,Profile!K25=2),"კოქსიბი + პტი","")))</f>
        <v/>
      </c>
    </row>
    <row r="15" spans="15:15" x14ac:dyDescent="0.35">
      <c r="O15" s="136" t="str">
        <f>IF(AND(Profile!K30=2,Profile!K24=3),"ნაპროქსენი + პტი",IF(AND(Profile!K30=2,Profile!K25=4),"ნაპროქსენი + პტი",""))</f>
        <v/>
      </c>
    </row>
    <row r="23" spans="15:15" x14ac:dyDescent="0.35">
      <c r="O23" s="136" t="str">
        <f>IF(AND(Profile!K30=2,Profile!K24=2),"თუ პაციენტი იღებს ასპირინს: ნაპროქსენი [ასპირინამდე 2 საათით ადრე] + პტი ან დაბალი დოზით ცელეკოქსიბი; თუ არა: ნაპროქსენი + პტი",IF(AND(Profile!K30=2,Profile!K25=3),"თუ პაციენტი იღებს ასპირინს: ნაპროქსენი [ასპირინამდე 2 საათით ადრე] + პტი ან დაბალი დოზით ცელეკოქსიბი; თუ არა: ნაპროქსენი + პტი",""))</f>
        <v/>
      </c>
    </row>
    <row r="26" spans="15:15" x14ac:dyDescent="0.35">
      <c r="O26" s="136" t="str">
        <f>IF(AND(Profile!K30=2,Profile!K24=1),"კოქსიბით [დაალი დოზით ცელეკოქსიბი] მონოთერაპია ან არასელექციური არასტეროიდი [ნაპროქსენი] + პტი",IF(AND(Profile!K30=2,Profile!K25=1),"კოქსიბით [დაალი დოზით ცელეკოქსიბი] მონოთერაპია ან არასელექციური არასტეროიდი [ნაპროქსენი] + პტი",IF(AND(Profile!K30=2,Profile!K25=2),"კოქსიბით [დაალი დოზით ცელეკოქსიბი] მონოთერაპია ან არასელექციური არასტეროიდი [ნაპროქსენი] + პტი","")))</f>
        <v/>
      </c>
    </row>
    <row r="32" spans="15:15" x14ac:dyDescent="0.35">
      <c r="O32" s="136" t="str">
        <f>IF(AND(Profile!K30=1,Profile!K24=2),"ნაპროქსენი",IF(AND(Profile!K30=1,Profile!K25=3),"ნაპროქსენი",IF(AND(Profile!K30=1,Profile!K25=4),"ნაპროქსენი","")))</f>
        <v/>
      </c>
    </row>
    <row r="36" spans="15:15" x14ac:dyDescent="0.35">
      <c r="O36" s="136" t="str">
        <f>IF(AND(Profile!K30=1,Profile!K24=1),"არასელექციური არასტეროიდი",IF(AND(Profile!K30=1,Profile!K25=1),"არასელექციური არასტეროიდი",IF(AND(Profile!K30=1,Profile!K25=2),"არასელექციური არასტეროიდი","")))</f>
        <v/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263E-6F35-4523-8AAA-71B421F28FDD}">
  <dimension ref="A1:T54"/>
  <sheetViews>
    <sheetView zoomScale="80" zoomScaleNormal="80" workbookViewId="0">
      <selection sqref="A1:J2"/>
    </sheetView>
  </sheetViews>
  <sheetFormatPr defaultRowHeight="14.5" x14ac:dyDescent="0.35"/>
  <cols>
    <col min="1" max="10" width="8.7265625" style="1"/>
    <col min="11" max="12" width="8.7265625" style="17"/>
    <col min="13" max="20" width="8.7265625" style="130"/>
    <col min="21" max="16384" width="8.7265625" style="1"/>
  </cols>
  <sheetData>
    <row r="1" spans="1:11" x14ac:dyDescent="0.35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" x14ac:dyDescent="0.35">
      <c r="A2" s="204"/>
      <c r="B2" s="204"/>
      <c r="C2" s="204"/>
      <c r="D2" s="204"/>
      <c r="E2" s="204"/>
      <c r="F2" s="204"/>
      <c r="G2" s="204"/>
      <c r="H2" s="204"/>
      <c r="I2" s="204"/>
      <c r="J2" s="204"/>
    </row>
    <row r="4" spans="1:11" x14ac:dyDescent="0.35">
      <c r="H4" s="1" t="s">
        <v>72</v>
      </c>
      <c r="I4" s="205">
        <f>Anamnesis!N4</f>
        <v>0</v>
      </c>
      <c r="J4" s="206"/>
    </row>
    <row r="6" spans="1:11" x14ac:dyDescent="0.35">
      <c r="F6" s="15" t="s">
        <v>1</v>
      </c>
      <c r="G6" s="206">
        <f>Anamnesis!B4</f>
        <v>0</v>
      </c>
      <c r="H6" s="206"/>
      <c r="I6" s="206"/>
      <c r="J6" s="206"/>
    </row>
    <row r="8" spans="1:11" x14ac:dyDescent="0.35">
      <c r="F8" s="6" t="s">
        <v>2</v>
      </c>
      <c r="G8" s="3">
        <f>Anamnesis!I4</f>
        <v>0</v>
      </c>
      <c r="H8" s="1" t="s">
        <v>3</v>
      </c>
    </row>
    <row r="9" spans="1:11" x14ac:dyDescent="0.35">
      <c r="D9"/>
      <c r="K9" s="17" t="s">
        <v>114</v>
      </c>
    </row>
    <row r="10" spans="1:11" x14ac:dyDescent="0.35">
      <c r="F10" s="6" t="s">
        <v>73</v>
      </c>
      <c r="G10" s="206" t="str">
        <f>IF(Anamnesis!P4=1,"მამრობითი",IF(Anamnesis!P4=2,"მდედრობითი",""))</f>
        <v/>
      </c>
      <c r="H10" s="206"/>
      <c r="K10" s="17" t="s">
        <v>115</v>
      </c>
    </row>
    <row r="13" spans="1:11" x14ac:dyDescent="0.35">
      <c r="A13" s="207" t="s">
        <v>74</v>
      </c>
      <c r="B13" s="207"/>
      <c r="C13" s="206" t="str">
        <f>IF(Anamnesis!$E$28=2,Anamnesis!$Q$26,IF(Anamnesis!$E$28=3,Anamnesis!$Q$27,IF(Anamnesis!$E$28=4,Anamnesis!$Q$28,IF(Anamnesis!$E$28=5,Anamnesis!$Q$29,IF(Anamnesis!$E$28=6,Anamnesis!$Q$30,IF(Anamnesis!$E$28=7,Anamnesis!$Q$31,IF(Anamnesis!$E$28=8,Anamnesis!$Q$32,IF(Anamnesis!$E$28=9,Anamnesis!$Q$33,""))))))))</f>
        <v/>
      </c>
      <c r="D13" s="206"/>
      <c r="E13" s="206"/>
      <c r="F13" s="206"/>
      <c r="G13" s="206"/>
      <c r="H13" s="207" t="s">
        <v>75</v>
      </c>
      <c r="I13" s="207"/>
      <c r="J13" s="3" t="str">
        <f>IF(C13="ოსტეოართრიტი","M19.9",IF(C13="რევმატოიდული ართრიტი","M06.9",IF(C13="იუვენილური რევმატოიდული ართრიტი","M08.0",IF(C13="მაანკილოზებელი სპონდილიტი","M45.9",IF(C13="პოდაგრული ართრიტი","M10.9",IF(C13="დისმენორეული ტკივილი","N94.6",IF(C13="მხრის ტკივილი","M25.51",IF(C13="ჰიპერთერმია","T88.3",""))))))))</f>
        <v/>
      </c>
    </row>
    <row r="15" spans="1:11" x14ac:dyDescent="0.35">
      <c r="C15" s="206" t="str">
        <f>IF(Anamnesis!C14=2,"ტიპი 2 შაქრიანი დიაბეტი","")</f>
        <v/>
      </c>
      <c r="D15" s="206"/>
      <c r="E15" s="206"/>
      <c r="F15" s="206"/>
      <c r="G15" s="206"/>
      <c r="H15" s="207" t="s">
        <v>75</v>
      </c>
      <c r="I15" s="207"/>
      <c r="J15" s="3" t="str">
        <f>IF(C15="ტიპი 2 შაქრიანი დიაბეტი","E11.9","")</f>
        <v/>
      </c>
    </row>
    <row r="17" spans="1:11" x14ac:dyDescent="0.35">
      <c r="C17" s="206" t="str">
        <f>IF(Anamnesis!P52,"ღვიძლის პათოლოგია",IF(Anamnesis!P53,"თირკმლის დაავადება",IF(Anamnesis!P54,"რესპირაციული პათოლოგია",IF(Anamnesis!P55,"ნევროლოგიური პათოლოგია",IF(Anamnesis!P56,"დერმატოლოგიური პათოლოგია",IF(Anamnesis!P57,"იმუნური პათოლოგია",IF(Anamnesis!P58,"რეპროდუქციული სისტემის პათოლოგია","")))))))</f>
        <v/>
      </c>
      <c r="D17" s="206"/>
      <c r="E17" s="206"/>
      <c r="F17" s="206"/>
      <c r="G17" s="206"/>
      <c r="H17" s="207" t="s">
        <v>75</v>
      </c>
      <c r="I17" s="207"/>
      <c r="J17" s="3"/>
    </row>
    <row r="19" spans="1:11" x14ac:dyDescent="0.35">
      <c r="A19" s="123"/>
      <c r="B19" s="124"/>
      <c r="C19" s="124"/>
      <c r="D19" s="124"/>
      <c r="E19" s="124"/>
      <c r="F19" s="124"/>
      <c r="G19" s="124"/>
      <c r="H19" s="124"/>
      <c r="I19" s="124"/>
      <c r="J19" s="125"/>
    </row>
    <row r="20" spans="1:11" x14ac:dyDescent="0.35">
      <c r="A20" s="195" t="str">
        <f>IF(Anamnesis!C14=3,Profile!K9,IF(Anamnesis!C14=2,Profile!K10,""))</f>
        <v/>
      </c>
      <c r="B20" s="196"/>
      <c r="C20" s="196"/>
      <c r="D20" s="196"/>
      <c r="E20" s="196"/>
      <c r="F20" s="196"/>
      <c r="G20" s="196"/>
      <c r="H20" s="196"/>
      <c r="I20" s="196"/>
      <c r="J20" s="197"/>
    </row>
    <row r="21" spans="1:11" x14ac:dyDescent="0.35">
      <c r="A21" s="195"/>
      <c r="B21" s="196"/>
      <c r="C21" s="196"/>
      <c r="D21" s="196"/>
      <c r="E21" s="196"/>
      <c r="F21" s="196"/>
      <c r="G21" s="196"/>
      <c r="H21" s="196"/>
      <c r="I21" s="196"/>
      <c r="J21" s="197"/>
    </row>
    <row r="22" spans="1:11" x14ac:dyDescent="0.35">
      <c r="A22" s="116"/>
      <c r="B22" s="8"/>
      <c r="C22" s="8"/>
      <c r="D22" s="8"/>
      <c r="E22" s="198" t="str">
        <f>IF(Anamnesis!C14=3,'CV Risk'!C32,IF(Anamnesis!C14=2,'SCORE2-Diabetes'!L21,""))</f>
        <v/>
      </c>
      <c r="F22" s="199" t="s">
        <v>113</v>
      </c>
      <c r="G22" s="8"/>
      <c r="H22" s="8"/>
      <c r="I22" s="8"/>
      <c r="J22" s="117"/>
    </row>
    <row r="23" spans="1:11" x14ac:dyDescent="0.35">
      <c r="A23" s="116"/>
      <c r="B23" s="8"/>
      <c r="C23" s="8"/>
      <c r="D23" s="8"/>
      <c r="E23" s="198"/>
      <c r="F23" s="199"/>
      <c r="G23" s="8"/>
      <c r="H23" s="8"/>
      <c r="I23" s="8"/>
      <c r="J23" s="117"/>
    </row>
    <row r="24" spans="1:11" x14ac:dyDescent="0.35">
      <c r="A24" s="126"/>
      <c r="B24" s="122"/>
      <c r="C24" s="208" t="str">
        <f>IF(Anamnesis!C14=3,'CV Risk'!D32,IF(Anamnesis!C14=2,'SCORE2-Diabetes'!H23,""))</f>
        <v/>
      </c>
      <c r="D24" s="208"/>
      <c r="E24" s="208"/>
      <c r="F24" s="208"/>
      <c r="G24" s="208"/>
      <c r="H24" s="208"/>
      <c r="I24" s="122"/>
      <c r="J24" s="127"/>
      <c r="K24" s="17" t="str">
        <f>IF(C24="კარდიოვასკულური დაავადების დაბალი-საშუალო რისკი",1,IF(C24="კარდიოვასკულური დაავადების მაღალი რისკი",2,IF(C24="კარდიოვასკულური დაავადების ძალიან მაღალი რისკი",3,"")))</f>
        <v/>
      </c>
    </row>
    <row r="25" spans="1:11" x14ac:dyDescent="0.35">
      <c r="A25" s="118"/>
      <c r="B25" s="119"/>
      <c r="C25" s="3"/>
      <c r="D25" s="3"/>
      <c r="E25" s="3"/>
      <c r="F25" s="3"/>
      <c r="G25" s="3"/>
      <c r="H25" s="3"/>
      <c r="I25" s="119"/>
      <c r="J25" s="120"/>
      <c r="K25" s="17" t="str">
        <f>IF(C24="დაბალი კარდიოვასკულური რისკი",1,IF(C24="საშუალო კარდიოვასკულური რისკი",2,IF(C24="მაღალი კარდიოვასკულური რისკი",3,IF(C24="ძალიან მაღალი კარდიოვასკულური რისკი",4,""))))</f>
        <v/>
      </c>
    </row>
    <row r="26" spans="1:11" x14ac:dyDescent="0.35">
      <c r="A26" s="123"/>
      <c r="B26" s="124"/>
      <c r="C26" s="124"/>
      <c r="D26" s="124"/>
      <c r="E26" s="124"/>
      <c r="F26" s="124"/>
      <c r="G26" s="124"/>
      <c r="H26" s="124"/>
      <c r="I26" s="124"/>
      <c r="J26" s="125"/>
    </row>
    <row r="27" spans="1:11" x14ac:dyDescent="0.35">
      <c r="A27" s="209" t="s">
        <v>357</v>
      </c>
      <c r="B27" s="208"/>
      <c r="C27" s="208"/>
      <c r="D27" s="208"/>
      <c r="E27" s="208"/>
      <c r="F27" s="208"/>
      <c r="G27" s="208"/>
      <c r="H27" s="208"/>
      <c r="I27" s="208"/>
      <c r="J27" s="210"/>
    </row>
    <row r="28" spans="1:11" x14ac:dyDescent="0.35">
      <c r="A28" s="116"/>
      <c r="B28" s="8"/>
      <c r="C28" s="8"/>
      <c r="D28" s="8"/>
      <c r="E28" s="211">
        <f>'GI Risk'!I20</f>
        <v>0</v>
      </c>
      <c r="F28" s="211"/>
      <c r="G28" s="8"/>
      <c r="H28" s="8"/>
      <c r="I28" s="8"/>
      <c r="J28" s="117"/>
    </row>
    <row r="29" spans="1:11" x14ac:dyDescent="0.35">
      <c r="A29" s="116"/>
      <c r="B29" s="8"/>
      <c r="C29" s="8"/>
      <c r="D29" s="8"/>
      <c r="E29" s="211"/>
      <c r="F29" s="211"/>
      <c r="G29" s="8"/>
      <c r="H29" s="8"/>
      <c r="I29" s="8"/>
      <c r="J29" s="117"/>
    </row>
    <row r="30" spans="1:11" x14ac:dyDescent="0.35">
      <c r="A30" s="116"/>
      <c r="B30" s="8"/>
      <c r="C30" s="8"/>
      <c r="D30" s="208" t="str">
        <f>'GI Risk'!I22</f>
        <v>დაბალი რისკი</v>
      </c>
      <c r="E30" s="208"/>
      <c r="F30" s="208"/>
      <c r="G30" s="208"/>
      <c r="H30" s="8"/>
      <c r="I30" s="8"/>
      <c r="J30" s="117"/>
      <c r="K30" s="17">
        <f>IF(D30="დაბალი რისკი",1,IF(D30="საშუალო რისკი",2,IF(D30="მაღალი რისკი",3,"")))</f>
        <v>1</v>
      </c>
    </row>
    <row r="31" spans="1:11" x14ac:dyDescent="0.35">
      <c r="A31" s="128"/>
      <c r="B31" s="5"/>
      <c r="C31" s="5"/>
      <c r="D31" s="5"/>
      <c r="E31" s="5"/>
      <c r="F31" s="5"/>
      <c r="G31" s="5"/>
      <c r="H31" s="5"/>
      <c r="I31" s="5"/>
      <c r="J31" s="129"/>
    </row>
    <row r="32" spans="1:11" x14ac:dyDescent="0.35">
      <c r="A32" s="123"/>
      <c r="B32" s="124"/>
      <c r="C32" s="124"/>
      <c r="D32" s="124"/>
      <c r="E32" s="124"/>
      <c r="F32" s="124"/>
      <c r="G32" s="124"/>
      <c r="H32" s="124"/>
      <c r="I32" s="124"/>
      <c r="J32" s="125"/>
    </row>
    <row r="33" spans="1:11" x14ac:dyDescent="0.35">
      <c r="A33" s="137" t="s">
        <v>397</v>
      </c>
      <c r="B33" s="138"/>
      <c r="C33" s="138"/>
      <c r="D33" s="138"/>
      <c r="E33" s="138"/>
      <c r="F33" s="138"/>
      <c r="G33" s="138"/>
      <c r="H33" s="138"/>
      <c r="I33" s="138"/>
      <c r="J33" s="141"/>
    </row>
    <row r="34" spans="1:11" x14ac:dyDescent="0.35">
      <c r="A34" s="116"/>
      <c r="B34" s="8"/>
      <c r="C34" s="8"/>
      <c r="D34" s="8"/>
      <c r="E34" s="8"/>
      <c r="F34" s="8"/>
      <c r="G34" s="8"/>
      <c r="H34" s="8"/>
      <c r="I34" s="8"/>
      <c r="J34" s="117"/>
    </row>
    <row r="35" spans="1:11" ht="14.5" customHeight="1" x14ac:dyDescent="0.35">
      <c r="A35" s="201" t="str">
        <f>IF(AND(Profile!K30=1,Profile!K24=1),"კოქსიბი ან არასელექციური არასტეროიდი + პროტონული ტუმბოს ინჰიბიტორი",IF(AND(Profile!K30=1,Profile!K25=1),"კოქსიბი ან არასელექციური არასტეროიდი + პროტონული ტუმბოს ინჰიბიტორი",IF(AND(Profile!K30=1,Profile!K25=2),"კოქსიბი დაბალი დოზით ან ნაპროქსენი + პროტონული ტუმბოს ინჰიბიტორი",IF(AND(Profile!K30=1,Profile!K24=2),"კოქსიბი დაბალი დოზით ან ნაპროქსენი + პროტონული ტუმბოს ინჰიბიტორი",IF(AND(Profile!K30=1,Profile!K25=3),"კოქსიბი დაბალი დოზით ან ნაპროქსენი + პროტონული ტუმბოს ინჰიბიტორი",IF(AND(Profile!K30=1,Profile!K25=4),"კოქსიბი დაბალი დოზით ან ნაპროქსენი + პროტონული ტუმბოს ინჰიბიტორი",IF(AND(Profile!K30=2,Profile!K24=1),"კოქსიბი დაბალი დოზით + პროტონული ტუმბოს ინჰიბიტორი",IF(AND(Profile!K30=2,Profile!K25=1),"კოქსიბი დაბალი დოზით + პროტონული ტუმბოს ინჰიბიტორი",IF(AND(Profile!K30=2,Profile!K25=2),"არ გამოიყენოთ არასტეროიდი ან კოქსიბი დაბალი დოზით + პროტონული ტუმბოს ინჰიბიტორი",IF(AND(Profile!K30=2,Profile!K24=2),"არ გამოიყენოთ არასტეროიდი ან კოქსიბი დაბალი დოზით + პროტონული ტუმბოს ინჰიბიტორი",IF(AND(Profile!K30=2,Profile!K25=3),"არ გამოიყენოთ არასტეროიდი ან კოქსიბი დაბალი დოზით + პროტონული ტუმბოს ინჰიბიტორი",IF(AND(Profile!K30=2,Profile!K24=3),"არ გამოიყენოთ არასტეროიდი ან კოქსიბი დაბალი დოზით + პროტონული ტუმბოს ინჰიბიტორი",IF(AND(Profile!K30=3,Profile!K24=1),"კოქსიბი დაბალი დოზით + პროტონული ტუმბოს ინჰიბიტორი",IF(AND(Profile!K30=3,Profile!K25=1),"კოქსიბი დაბალი დოზით + პროტონული ტუმბოს ინჰიბიტორი",IF(AND(Profile!K30=3,Profile!K25=2),"არ გამოიყენოთ არასტეროიდი ან კოქსიბი დაბალი დოზით + პროტონული ტუმბოს ინჰიბიტორი",IF(AND(Profile!K30=3,Profile!K24=2),"არ გამოიყენოთ არასტეროიდი ან კოქსიბი დაბალი დოზით + პროტონული ტუმბოს ინჰიბიტორი",IF(AND(Profile!K30=3,Profile!K25=3),"არ გამოიყენოთ არასტეროიდი ან კოქსიბი დაბალი დოზით + პროტონული ტუმბოს ინჰიბიტორი",IF(AND(Profile!K30=3,Profile!K24=3),"არ გამოიყენოთ არასტეროიდი ან კოქსიბი დაბალი დოზით + პროტონული ტუმბოს ინჰიბიტორი",IF(AND(Profile!K30=3,Profile!K25=4),"არ გამოიყენოთ არასტეროიდი ან კოქსიბი დაბალი დოზით + პროტონული ტუმბოს ინჰიბიტორი","")))))))))))))))))))</f>
        <v/>
      </c>
      <c r="B35" s="202"/>
      <c r="C35" s="202"/>
      <c r="D35" s="202"/>
      <c r="E35" s="202"/>
      <c r="F35" s="202"/>
      <c r="G35" s="202"/>
      <c r="H35" s="202"/>
      <c r="I35" s="202"/>
      <c r="J35" s="203"/>
    </row>
    <row r="36" spans="1:11" ht="14.5" customHeight="1" x14ac:dyDescent="0.35">
      <c r="A36" s="201"/>
      <c r="B36" s="202"/>
      <c r="C36" s="202"/>
      <c r="D36" s="202"/>
      <c r="E36" s="202"/>
      <c r="F36" s="202"/>
      <c r="G36" s="202"/>
      <c r="H36" s="202"/>
      <c r="I36" s="202"/>
      <c r="J36" s="203"/>
    </row>
    <row r="37" spans="1:11" ht="14.5" customHeight="1" x14ac:dyDescent="0.35">
      <c r="A37" s="201"/>
      <c r="B37" s="202"/>
      <c r="C37" s="202"/>
      <c r="D37" s="202"/>
      <c r="E37" s="202"/>
      <c r="F37" s="202"/>
      <c r="G37" s="202"/>
      <c r="H37" s="202"/>
      <c r="I37" s="202"/>
      <c r="J37" s="203"/>
    </row>
    <row r="38" spans="1:11" x14ac:dyDescent="0.35">
      <c r="A38" s="128"/>
      <c r="B38" s="5"/>
      <c r="C38" s="5"/>
      <c r="D38" s="5"/>
      <c r="E38" s="5"/>
      <c r="F38" s="5"/>
      <c r="G38" s="5"/>
      <c r="H38" s="5"/>
      <c r="I38" s="5"/>
      <c r="J38" s="129"/>
    </row>
    <row r="39" spans="1:11" x14ac:dyDescent="0.35">
      <c r="K39" s="17" t="s">
        <v>404</v>
      </c>
    </row>
    <row r="40" spans="1:11" x14ac:dyDescent="0.35">
      <c r="A40" s="140" t="str">
        <f>IF(A35="არასელექციური არასტეროიდი","გადადით არასტეროიდების გვერდზე","")</f>
        <v/>
      </c>
      <c r="K40" s="17" t="s">
        <v>405</v>
      </c>
    </row>
    <row r="41" spans="1:11" x14ac:dyDescent="0.35">
      <c r="K41" s="17" t="s">
        <v>406</v>
      </c>
    </row>
    <row r="42" spans="1:11" x14ac:dyDescent="0.35">
      <c r="K42" s="17" t="s">
        <v>407</v>
      </c>
    </row>
    <row r="43" spans="1:11" x14ac:dyDescent="0.35">
      <c r="K43" s="17" t="s">
        <v>408</v>
      </c>
    </row>
    <row r="44" spans="1:11" x14ac:dyDescent="0.35">
      <c r="K44" s="17" t="s">
        <v>409</v>
      </c>
    </row>
    <row r="45" spans="1:11" x14ac:dyDescent="0.35">
      <c r="K45" s="17" t="s">
        <v>410</v>
      </c>
    </row>
    <row r="46" spans="1:11" x14ac:dyDescent="0.35">
      <c r="K46" s="17" t="s">
        <v>411</v>
      </c>
    </row>
    <row r="47" spans="1:11" x14ac:dyDescent="0.35">
      <c r="K47" s="17" t="s">
        <v>412</v>
      </c>
    </row>
    <row r="48" spans="1:11" x14ac:dyDescent="0.35">
      <c r="K48" s="17" t="s">
        <v>413</v>
      </c>
    </row>
    <row r="49" spans="1:11" x14ac:dyDescent="0.35">
      <c r="A49" s="200" t="str">
        <f>IF(Anamnesis!P38,Profile!K39,IF(Anamnesis!P40,Profile!K40,IF(Anamnesis!P42,Profile!K41,IF(Anamnesis!P44,Profile!K43,IF(Anamnesis!P19,Profile!K42,IF(Anamnesis!P46,Profile!K44,IF(Anamnesis!P50,Profile!K49,IF(Anamnesis!P39,Profile!K50,IF(Anamnesis!P41,Profile!K51,IF(Anamnesis!P43,Profile!K53,IF(Anamnesis!P45,Profile!K54,IF(Anamnesis!P48,Profile!K45,IF(Anamnesis!P20,Profile!K46,IF(Anamnesis!P21,Profile!K47,IF(Anamnesis!P47,Profile!K52,IF(Anamnesis!P49,Profile!K48,""))))))))))))))))</f>
        <v/>
      </c>
      <c r="B49" s="200"/>
      <c r="C49" s="200"/>
      <c r="D49" s="200"/>
      <c r="E49" s="200"/>
      <c r="F49" s="200"/>
      <c r="G49" s="200"/>
      <c r="H49" s="200"/>
      <c r="I49" s="200"/>
      <c r="J49" s="200"/>
      <c r="K49" s="17" t="s">
        <v>414</v>
      </c>
    </row>
    <row r="50" spans="1:11" x14ac:dyDescent="0.35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17" t="s">
        <v>415</v>
      </c>
    </row>
    <row r="51" spans="1:11" x14ac:dyDescent="0.35">
      <c r="K51" s="17" t="s">
        <v>416</v>
      </c>
    </row>
    <row r="52" spans="1:11" x14ac:dyDescent="0.35">
      <c r="K52" s="17" t="s">
        <v>417</v>
      </c>
    </row>
    <row r="53" spans="1:11" x14ac:dyDescent="0.35">
      <c r="K53" s="17" t="s">
        <v>418</v>
      </c>
    </row>
    <row r="54" spans="1:11" x14ac:dyDescent="0.35">
      <c r="K54" s="17" t="s">
        <v>419</v>
      </c>
    </row>
  </sheetData>
  <sheetProtection algorithmName="SHA-512" hashValue="augU7tkBTgC9NFIDVftKHN5I3eIK2oTMezLl6m51Xo0QzJIVRkgdoZqfQ35pCgdT0Wdxd7QDfO8FXWCs5BBUDw==" saltValue="rM1rqOKyCkVeBg9viPdSTA==" spinCount="100000" sheet="1" objects="1" scenarios="1"/>
  <mergeCells count="20">
    <mergeCell ref="C15:G15"/>
    <mergeCell ref="H15:I15"/>
    <mergeCell ref="C17:G17"/>
    <mergeCell ref="H17:I17"/>
    <mergeCell ref="A1:J2"/>
    <mergeCell ref="I4:J4"/>
    <mergeCell ref="G6:J6"/>
    <mergeCell ref="G10:H10"/>
    <mergeCell ref="A13:B13"/>
    <mergeCell ref="C13:G13"/>
    <mergeCell ref="H13:I13"/>
    <mergeCell ref="A20:J21"/>
    <mergeCell ref="E22:E23"/>
    <mergeCell ref="F22:F23"/>
    <mergeCell ref="A49:J50"/>
    <mergeCell ref="A35:J37"/>
    <mergeCell ref="C24:H24"/>
    <mergeCell ref="A27:J27"/>
    <mergeCell ref="E28:F29"/>
    <mergeCell ref="D30:G30"/>
  </mergeCells>
  <conditionalFormatting sqref="C24:H24">
    <cfRule type="containsText" dxfId="49" priority="1" operator="containsText" text="საშუალო კარდიოვასკულური რისკი">
      <formula>NOT(ISERROR(SEARCH("საშუალო კარდიოვასკულური რისკი",C24)))</formula>
    </cfRule>
    <cfRule type="containsText" dxfId="48" priority="2" operator="containsText" text="ძალიან მაღალი კარდიოვასკულური რისკი">
      <formula>NOT(ISERROR(SEARCH("ძალიან მაღალი კარდიოვასკულური რისკი",C24)))</formula>
    </cfRule>
    <cfRule type="containsText" dxfId="47" priority="6" operator="containsText" text="კარდიოვასკულური დაავადების ძალიან მაღალი რისკი">
      <formula>NOT(ISERROR(SEARCH("კარდიოვასკულური დაავადების ძალიან მაღალი რისკი",C24)))</formula>
    </cfRule>
    <cfRule type="containsText" dxfId="46" priority="7" operator="containsText" text="კარდიოვასკულური დაავადების მაღალი რისკი">
      <formula>NOT(ISERROR(SEARCH("კარდიოვასკულური დაავადების მაღალი რისკი",C24)))</formula>
    </cfRule>
    <cfRule type="containsText" dxfId="45" priority="8" operator="containsText" text="კარდიოვასკულური დაავადების დაბალი-საშუალო რისკი">
      <formula>NOT(ISERROR(SEARCH("კარდიოვასკულური დაავადების დაბალი-საშუალო რისკი",C24)))</formula>
    </cfRule>
  </conditionalFormatting>
  <conditionalFormatting sqref="D30:G30">
    <cfRule type="containsText" dxfId="44" priority="3" operator="containsText" text="მაღალი">
      <formula>NOT(ISERROR(SEARCH("მაღალი",D30)))</formula>
    </cfRule>
    <cfRule type="containsText" dxfId="43" priority="4" operator="containsText" text="საშუალო">
      <formula>NOT(ISERROR(SEARCH("საშუალო",D30)))</formula>
    </cfRule>
    <cfRule type="containsText" dxfId="42" priority="5" operator="containsText" text="დაბალი">
      <formula>NOT(ISERROR(SEARCH("დაბალი",D30)))</formula>
    </cfRule>
  </conditionalFormatting>
  <hyperlinks>
    <hyperlink ref="A1:J2" location="Anamnesis!A1" display="პაციენტის პროფილი" xr:uid="{F9264EBF-AD44-49F3-BA87-9EE6FFD759E7}"/>
    <hyperlink ref="A40" location="NSAIDs!A1" display="NSAIDs!A1" xr:uid="{05B6E2E5-E68C-41E8-B717-D7C926FB0214}"/>
  </hyperlinks>
  <pageMargins left="0.7" right="0.7" top="0.75" bottom="0.75" header="0.3" footer="0.3"/>
  <pageSetup paperSize="9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2218-6E8A-42BE-8904-7A4AF10202C6}">
  <dimension ref="A1:R33"/>
  <sheetViews>
    <sheetView workbookViewId="0">
      <selection activeCell="Q12" sqref="Q12"/>
    </sheetView>
  </sheetViews>
  <sheetFormatPr defaultRowHeight="14.5" x14ac:dyDescent="0.35"/>
  <cols>
    <col min="1" max="4" width="8.7265625" style="158"/>
    <col min="5" max="15" width="8.6328125" style="185" customWidth="1"/>
    <col min="16" max="16" width="8.7265625" style="132"/>
    <col min="17" max="18" width="8.7265625" style="133"/>
    <col min="19" max="16384" width="8.7265625" style="1"/>
  </cols>
  <sheetData>
    <row r="1" spans="1:18" ht="185.5" thickBot="1" x14ac:dyDescent="0.4">
      <c r="E1" s="159" t="s">
        <v>27</v>
      </c>
      <c r="F1" s="160" t="s">
        <v>360</v>
      </c>
      <c r="G1" s="160" t="s">
        <v>361</v>
      </c>
      <c r="H1" s="160" t="s">
        <v>30</v>
      </c>
      <c r="I1" s="160" t="s">
        <v>31</v>
      </c>
      <c r="J1" s="160" t="s">
        <v>32</v>
      </c>
      <c r="K1" s="160" t="s">
        <v>33</v>
      </c>
      <c r="L1" s="160" t="s">
        <v>34</v>
      </c>
      <c r="M1" s="160" t="s">
        <v>36</v>
      </c>
      <c r="N1" s="160" t="s">
        <v>37</v>
      </c>
      <c r="O1" s="161" t="s">
        <v>38</v>
      </c>
      <c r="P1" s="134" t="s">
        <v>394</v>
      </c>
      <c r="Q1" s="134" t="s">
        <v>395</v>
      </c>
      <c r="R1" s="134" t="s">
        <v>396</v>
      </c>
    </row>
    <row r="2" spans="1:18" ht="15" thickBot="1" x14ac:dyDescent="0.4">
      <c r="A2" s="162" t="s">
        <v>362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4"/>
      <c r="P2" s="135"/>
      <c r="Q2" s="135"/>
      <c r="R2" s="135"/>
    </row>
    <row r="3" spans="1:18" x14ac:dyDescent="0.35">
      <c r="A3" s="225" t="s">
        <v>363</v>
      </c>
      <c r="B3" s="226"/>
      <c r="C3" s="226"/>
      <c r="D3" s="226"/>
      <c r="E3" s="165"/>
      <c r="F3" s="165" t="str">
        <f>IF(Anamnesis!P27,1,"")</f>
        <v/>
      </c>
      <c r="G3" s="165"/>
      <c r="H3" s="165" t="str">
        <f>IF(Anamnesis!E28=2,1,"")</f>
        <v/>
      </c>
      <c r="I3" s="165"/>
      <c r="J3" s="165"/>
      <c r="K3" s="165"/>
      <c r="L3" s="165"/>
      <c r="M3" s="165"/>
      <c r="N3" s="165"/>
      <c r="O3" s="166"/>
      <c r="P3" s="131">
        <v>3</v>
      </c>
      <c r="Q3" s="131">
        <v>2</v>
      </c>
      <c r="R3" s="131">
        <v>0</v>
      </c>
    </row>
    <row r="4" spans="1:18" x14ac:dyDescent="0.35">
      <c r="A4" s="218" t="s">
        <v>364</v>
      </c>
      <c r="B4" s="219"/>
      <c r="C4" s="219"/>
      <c r="D4" s="219"/>
      <c r="E4" s="167" t="str">
        <f>IF(Anamnesis!P26,1,"")</f>
        <v/>
      </c>
      <c r="F4" s="167" t="str">
        <f>IF(Anamnesis!P27,1,"")</f>
        <v/>
      </c>
      <c r="G4" s="167"/>
      <c r="H4" s="167" t="str">
        <f>IF(Anamnesis!E28=2,1,"")</f>
        <v/>
      </c>
      <c r="I4" s="167" t="str">
        <f>IF(Anamnesis!E28=3,1,"")</f>
        <v/>
      </c>
      <c r="J4" s="167"/>
      <c r="K4" s="167"/>
      <c r="L4" s="167"/>
      <c r="M4" s="167" t="str">
        <f>IF(Anamnesis!E28=7,1,"")</f>
        <v/>
      </c>
      <c r="N4" s="167"/>
      <c r="O4" s="168"/>
      <c r="P4" s="131"/>
      <c r="Q4" s="131"/>
      <c r="R4" s="131"/>
    </row>
    <row r="5" spans="1:18" x14ac:dyDescent="0.35">
      <c r="A5" s="218" t="s">
        <v>365</v>
      </c>
      <c r="B5" s="219"/>
      <c r="C5" s="219"/>
      <c r="D5" s="219"/>
      <c r="E5" s="167" t="str">
        <f>IF(Anamnesis!P26,1,"")</f>
        <v/>
      </c>
      <c r="F5" s="167"/>
      <c r="G5" s="167"/>
      <c r="H5" s="167" t="str">
        <f>IF(Anamnesis!E28=2,1,"")</f>
        <v/>
      </c>
      <c r="I5" s="167" t="str">
        <f>IF(Anamnesis!E28=3,1,"")</f>
        <v/>
      </c>
      <c r="J5" s="167"/>
      <c r="K5" s="167" t="str">
        <f>IF(Anamnesis!E28=5,1,"")</f>
        <v/>
      </c>
      <c r="L5" s="167"/>
      <c r="M5" s="167" t="str">
        <f>IF(Anamnesis!E28=7,1,"")</f>
        <v/>
      </c>
      <c r="N5" s="167"/>
      <c r="O5" s="168"/>
      <c r="P5" s="131"/>
      <c r="Q5" s="131"/>
      <c r="R5" s="131"/>
    </row>
    <row r="6" spans="1:18" x14ac:dyDescent="0.35">
      <c r="A6" s="218" t="s">
        <v>366</v>
      </c>
      <c r="B6" s="219"/>
      <c r="C6" s="219"/>
      <c r="D6" s="219"/>
      <c r="E6" s="167" t="str">
        <f>IF(Anamnesis!P26,1,"")</f>
        <v/>
      </c>
      <c r="F6" s="167"/>
      <c r="G6" s="167"/>
      <c r="H6" s="167" t="str">
        <f>IF(Anamnesis!E28=2,1,"")</f>
        <v/>
      </c>
      <c r="I6" s="167" t="str">
        <f>IF(Anamnesis!E28=3,1,"")</f>
        <v/>
      </c>
      <c r="J6" s="167" t="str">
        <f>IF(Anamnesis!E28=4,1,"")</f>
        <v/>
      </c>
      <c r="K6" s="167"/>
      <c r="L6" s="167"/>
      <c r="M6" s="167"/>
      <c r="N6" s="167"/>
      <c r="O6" s="168"/>
      <c r="P6" s="131">
        <v>0</v>
      </c>
      <c r="Q6" s="131">
        <v>1</v>
      </c>
      <c r="R6" s="131">
        <v>0</v>
      </c>
    </row>
    <row r="7" spans="1:18" x14ac:dyDescent="0.35">
      <c r="A7" s="218" t="s">
        <v>367</v>
      </c>
      <c r="B7" s="219"/>
      <c r="C7" s="219"/>
      <c r="D7" s="219"/>
      <c r="E7" s="167" t="str">
        <f>IF(Anamnesis!P26,1,"")</f>
        <v/>
      </c>
      <c r="F7" s="167"/>
      <c r="G7" s="167"/>
      <c r="H7" s="167" t="str">
        <f>IF(Anamnesis!E28=2,1,"")</f>
        <v/>
      </c>
      <c r="I7" s="167" t="str">
        <f>IF(Anamnesis!E28=3,1,"")</f>
        <v/>
      </c>
      <c r="J7" s="167"/>
      <c r="K7" s="167" t="str">
        <f>IF(Anamnesis!E28=5,1,"")</f>
        <v/>
      </c>
      <c r="L7" s="167" t="str">
        <f>IF(Anamnesis!E28=6,1,"")</f>
        <v/>
      </c>
      <c r="M7" s="167"/>
      <c r="N7" s="167" t="str">
        <f>IF(Anamnesis!E28=8,1,"")</f>
        <v/>
      </c>
      <c r="O7" s="168"/>
      <c r="P7" s="131">
        <v>0</v>
      </c>
      <c r="Q7" s="131">
        <v>3</v>
      </c>
      <c r="R7" s="131">
        <v>0</v>
      </c>
    </row>
    <row r="8" spans="1:18" x14ac:dyDescent="0.35">
      <c r="A8" s="218" t="s">
        <v>368</v>
      </c>
      <c r="B8" s="219"/>
      <c r="C8" s="219"/>
      <c r="D8" s="219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  <c r="P8" s="131"/>
      <c r="Q8" s="131"/>
      <c r="R8" s="131"/>
    </row>
    <row r="9" spans="1:18" x14ac:dyDescent="0.35">
      <c r="A9" s="218" t="s">
        <v>369</v>
      </c>
      <c r="B9" s="219"/>
      <c r="C9" s="219"/>
      <c r="D9" s="219"/>
      <c r="E9" s="167" t="str">
        <f>IF(Anamnesis!P26,1,"")</f>
        <v/>
      </c>
      <c r="F9" s="167"/>
      <c r="G9" s="167"/>
      <c r="H9" s="167"/>
      <c r="I9" s="167"/>
      <c r="J9" s="167"/>
      <c r="K9" s="167"/>
      <c r="L9" s="167"/>
      <c r="M9" s="167"/>
      <c r="N9" s="167"/>
      <c r="O9" s="168"/>
      <c r="P9" s="131"/>
      <c r="Q9" s="131"/>
      <c r="R9" s="131"/>
    </row>
    <row r="10" spans="1:18" x14ac:dyDescent="0.35">
      <c r="A10" s="218" t="s">
        <v>370</v>
      </c>
      <c r="B10" s="219"/>
      <c r="C10" s="219"/>
      <c r="D10" s="219"/>
      <c r="E10" s="167"/>
      <c r="F10" s="167"/>
      <c r="G10" s="167"/>
      <c r="H10" s="167" t="str">
        <f>IF(Anamnesis!E28=2,1,"")</f>
        <v/>
      </c>
      <c r="I10" s="167" t="str">
        <f>IF(Anamnesis!E28=3,1,"")</f>
        <v/>
      </c>
      <c r="J10" s="167"/>
      <c r="K10" s="167"/>
      <c r="L10" s="167"/>
      <c r="M10" s="167"/>
      <c r="N10" s="167"/>
      <c r="O10" s="168"/>
      <c r="P10" s="131"/>
      <c r="Q10" s="131"/>
      <c r="R10" s="131"/>
    </row>
    <row r="11" spans="1:18" x14ac:dyDescent="0.35">
      <c r="A11" s="218" t="s">
        <v>371</v>
      </c>
      <c r="B11" s="219"/>
      <c r="C11" s="219"/>
      <c r="D11" s="219"/>
      <c r="E11" s="167"/>
      <c r="F11" s="167"/>
      <c r="G11" s="167"/>
      <c r="H11" s="167" t="str">
        <f>IF(Anamnesis!E28=2,1,"")</f>
        <v/>
      </c>
      <c r="I11" s="167" t="str">
        <f>IF(Anamnesis!E28=3,1,"")</f>
        <v/>
      </c>
      <c r="J11" s="167"/>
      <c r="K11" s="167" t="str">
        <f>IF(Anamnesis!E28=5,1,"")</f>
        <v/>
      </c>
      <c r="L11" s="167" t="str">
        <f>IF(Anamnesis!E28=6,1,"")</f>
        <v/>
      </c>
      <c r="M11" s="167"/>
      <c r="N11" s="167" t="str">
        <f>IF(Anamnesis!E28=8,1,"")</f>
        <v/>
      </c>
      <c r="O11" s="168"/>
      <c r="P11" s="131">
        <v>0</v>
      </c>
      <c r="Q11" s="131">
        <v>1</v>
      </c>
      <c r="R11" s="131">
        <v>0</v>
      </c>
    </row>
    <row r="12" spans="1:18" ht="15" thickBot="1" x14ac:dyDescent="0.4">
      <c r="A12" s="220" t="s">
        <v>372</v>
      </c>
      <c r="B12" s="221"/>
      <c r="C12" s="221"/>
      <c r="D12" s="221"/>
      <c r="E12" s="169"/>
      <c r="F12" s="169"/>
      <c r="G12" s="169"/>
      <c r="H12" s="169" t="str">
        <f>IF(Anamnesis!E28=2,1,"")</f>
        <v/>
      </c>
      <c r="I12" s="169" t="str">
        <f>IF(Anamnesis!E28=3,1,"")</f>
        <v/>
      </c>
      <c r="J12" s="169" t="str">
        <f>IF(Anamnesis!E28=4,1,"")</f>
        <v/>
      </c>
      <c r="K12" s="169"/>
      <c r="L12" s="169"/>
      <c r="M12" s="169"/>
      <c r="N12" s="169"/>
      <c r="O12" s="170"/>
      <c r="P12" s="131"/>
      <c r="Q12" s="131"/>
      <c r="R12" s="131"/>
    </row>
    <row r="13" spans="1:18" ht="15" thickBot="1" x14ac:dyDescent="0.4">
      <c r="A13" s="162" t="s">
        <v>373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4"/>
      <c r="P13" s="135"/>
      <c r="Q13" s="135"/>
      <c r="R13" s="135"/>
    </row>
    <row r="14" spans="1:18" x14ac:dyDescent="0.35">
      <c r="A14" s="222" t="s">
        <v>374</v>
      </c>
      <c r="B14" s="223"/>
      <c r="C14" s="223"/>
      <c r="D14" s="224"/>
      <c r="E14" s="165"/>
      <c r="F14" s="165" t="str">
        <f>IF(Anamnesis!P27,1,"")</f>
        <v/>
      </c>
      <c r="G14" s="165"/>
      <c r="H14" s="165" t="str">
        <f>IF(Anamnesis!E28=2,1,"")</f>
        <v/>
      </c>
      <c r="I14" s="165" t="str">
        <f>IF(Anamnesis!E28=3,1,"")</f>
        <v/>
      </c>
      <c r="J14" s="165" t="str">
        <f>IF(Anamnesis!E28=4,1,"")</f>
        <v/>
      </c>
      <c r="K14" s="165" t="str">
        <f>IF(Anamnesis!E28=5,1,"")</f>
        <v/>
      </c>
      <c r="L14" s="165" t="str">
        <f>IF(Anamnesis!E28=6,1,"")</f>
        <v/>
      </c>
      <c r="M14" s="165" t="str">
        <f>IF(Anamnesis!E28=7,1,"")</f>
        <v/>
      </c>
      <c r="N14" s="165" t="str">
        <f>IF(Anamnesis!E28=8,1,"")</f>
        <v/>
      </c>
      <c r="O14" s="166" t="str">
        <f>IF(Anamnesis!E28=9,1,"")</f>
        <v/>
      </c>
    </row>
    <row r="15" spans="1:18" ht="15" thickBot="1" x14ac:dyDescent="0.4">
      <c r="A15" s="220" t="s">
        <v>375</v>
      </c>
      <c r="B15" s="221"/>
      <c r="C15" s="221"/>
      <c r="D15" s="221"/>
      <c r="E15" s="169" t="str">
        <f>IF(Anamnesis!P26,1,"")</f>
        <v/>
      </c>
      <c r="F15" s="169"/>
      <c r="G15" s="169"/>
      <c r="H15" s="169"/>
      <c r="I15" s="169"/>
      <c r="J15" s="169"/>
      <c r="K15" s="169"/>
      <c r="L15" s="169"/>
      <c r="M15" s="169" t="str">
        <f>IF(Anamnesis!E28=7,1,"")</f>
        <v/>
      </c>
      <c r="N15" s="169"/>
      <c r="O15" s="170"/>
    </row>
    <row r="16" spans="1:18" ht="15" thickBot="1" x14ac:dyDescent="0.4">
      <c r="A16" s="162" t="s">
        <v>376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4"/>
      <c r="P16" s="135"/>
      <c r="Q16" s="135"/>
      <c r="R16" s="135"/>
    </row>
    <row r="17" spans="1:18" x14ac:dyDescent="0.35">
      <c r="A17" s="222" t="s">
        <v>377</v>
      </c>
      <c r="B17" s="223"/>
      <c r="C17" s="223"/>
      <c r="D17" s="224"/>
      <c r="E17" s="165"/>
      <c r="F17" s="165"/>
      <c r="G17" s="165"/>
      <c r="H17" s="165" t="str">
        <f>IF(Anamnesis!E28=2,1,"")</f>
        <v/>
      </c>
      <c r="I17" s="165" t="str">
        <f>IF(Anamnesis!E28=3,1,"")</f>
        <v/>
      </c>
      <c r="J17" s="165" t="str">
        <f>IF(Anamnesis!E28=4,1,"")</f>
        <v/>
      </c>
      <c r="K17" s="165"/>
      <c r="L17" s="165"/>
      <c r="M17" s="165"/>
      <c r="N17" s="165"/>
      <c r="O17" s="166"/>
      <c r="P17" s="132">
        <v>0</v>
      </c>
      <c r="Q17" s="131">
        <v>3</v>
      </c>
      <c r="R17" s="131">
        <v>0</v>
      </c>
    </row>
    <row r="18" spans="1:18" ht="15" thickBot="1" x14ac:dyDescent="0.4">
      <c r="A18" s="220" t="s">
        <v>378</v>
      </c>
      <c r="B18" s="221"/>
      <c r="C18" s="221"/>
      <c r="D18" s="221"/>
      <c r="E18" s="169"/>
      <c r="F18" s="169"/>
      <c r="G18" s="169"/>
      <c r="H18" s="169" t="str">
        <f>IF(Anamnesis!E28=2,1,"")</f>
        <v/>
      </c>
      <c r="I18" s="169" t="str">
        <f>IF(Anamnesis!E28=3,1,"")</f>
        <v/>
      </c>
      <c r="J18" s="169"/>
      <c r="K18" s="169"/>
      <c r="L18" s="169"/>
      <c r="M18" s="169"/>
      <c r="N18" s="169"/>
      <c r="O18" s="170"/>
      <c r="P18" s="132">
        <v>0</v>
      </c>
      <c r="Q18" s="131">
        <v>3</v>
      </c>
      <c r="R18" s="131">
        <v>0</v>
      </c>
    </row>
    <row r="19" spans="1:18" ht="15" thickBot="1" x14ac:dyDescent="0.4">
      <c r="A19" s="162" t="s">
        <v>379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4"/>
      <c r="P19" s="135"/>
      <c r="Q19" s="135"/>
      <c r="R19" s="135"/>
    </row>
    <row r="20" spans="1:18" x14ac:dyDescent="0.35">
      <c r="A20" s="212" t="s">
        <v>380</v>
      </c>
      <c r="B20" s="213"/>
      <c r="C20" s="213"/>
      <c r="D20" s="213"/>
      <c r="E20" s="171"/>
      <c r="F20" s="172"/>
      <c r="G20" s="172" t="str">
        <f>IF(Anamnesis!P28,1,"")</f>
        <v/>
      </c>
      <c r="H20" s="172" t="str">
        <f>IF(Anamnesis!E28=2,1,"")</f>
        <v/>
      </c>
      <c r="I20" s="172" t="str">
        <f>IF(Anamnesis!E28=3,1,"")</f>
        <v/>
      </c>
      <c r="J20" s="172"/>
      <c r="K20" s="172"/>
      <c r="L20" s="172"/>
      <c r="M20" s="172"/>
      <c r="N20" s="172"/>
      <c r="O20" s="173"/>
      <c r="P20" s="131"/>
      <c r="Q20" s="131"/>
      <c r="R20" s="131"/>
    </row>
    <row r="21" spans="1:18" x14ac:dyDescent="0.35">
      <c r="A21" s="218" t="s">
        <v>381</v>
      </c>
      <c r="B21" s="219"/>
      <c r="C21" s="219"/>
      <c r="D21" s="219"/>
      <c r="E21" s="174"/>
      <c r="F21" s="167"/>
      <c r="G21" s="167"/>
      <c r="H21" s="167" t="str">
        <f>IF(Anamnesis!E28=2,1,"")</f>
        <v/>
      </c>
      <c r="I21" s="167" t="str">
        <f>IF(Anamnesis!E28=3,1,"")</f>
        <v/>
      </c>
      <c r="J21" s="167"/>
      <c r="K21" s="167"/>
      <c r="L21" s="167"/>
      <c r="M21" s="167"/>
      <c r="N21" s="167"/>
      <c r="O21" s="168"/>
      <c r="P21" s="131"/>
      <c r="Q21" s="131"/>
      <c r="R21" s="131"/>
    </row>
    <row r="22" spans="1:18" x14ac:dyDescent="0.35">
      <c r="A22" s="218" t="s">
        <v>382</v>
      </c>
      <c r="B22" s="219"/>
      <c r="C22" s="219"/>
      <c r="D22" s="219"/>
      <c r="E22" s="175"/>
      <c r="F22" s="175" t="str">
        <f>IF(Anamnesis!P27,1,"")</f>
        <v/>
      </c>
      <c r="G22" s="175" t="str">
        <f>IF(Anamnesis!P28,1,"")</f>
        <v/>
      </c>
      <c r="H22" s="175" t="str">
        <f>IF(Anamnesis!E28=2,1,"")</f>
        <v/>
      </c>
      <c r="I22" s="175" t="str">
        <f>IF(Anamnesis!E28=3,1,"")</f>
        <v/>
      </c>
      <c r="J22" s="175"/>
      <c r="K22" s="175"/>
      <c r="L22" s="175"/>
      <c r="M22" s="175" t="str">
        <f>IF(Anamnesis!E28=7,1,"")</f>
        <v/>
      </c>
      <c r="N22" s="175"/>
      <c r="O22" s="176" t="str">
        <f>IF(Anamnesis!E28=9,1,"")</f>
        <v/>
      </c>
      <c r="P22" s="131">
        <v>2</v>
      </c>
      <c r="Q22" s="131">
        <v>2</v>
      </c>
      <c r="R22" s="131">
        <v>0</v>
      </c>
    </row>
    <row r="23" spans="1:18" x14ac:dyDescent="0.35">
      <c r="A23" s="218" t="s">
        <v>383</v>
      </c>
      <c r="B23" s="219"/>
      <c r="C23" s="219"/>
      <c r="D23" s="219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6"/>
      <c r="P23" s="131"/>
      <c r="Q23" s="131"/>
      <c r="R23" s="131"/>
    </row>
    <row r="24" spans="1:18" x14ac:dyDescent="0.35">
      <c r="A24" s="218" t="s">
        <v>384</v>
      </c>
      <c r="B24" s="219"/>
      <c r="C24" s="219"/>
      <c r="D24" s="219"/>
      <c r="E24" s="175" t="str">
        <f>IF(Anamnesis!P26,1,"")</f>
        <v/>
      </c>
      <c r="F24" s="175"/>
      <c r="G24" s="175"/>
      <c r="H24" s="175" t="str">
        <f>IF(Anamnesis!E28=2,1,"")</f>
        <v/>
      </c>
      <c r="I24" s="175" t="str">
        <f>IF(Anamnesis!E28=3,1,"")</f>
        <v/>
      </c>
      <c r="J24" s="175"/>
      <c r="K24" s="175"/>
      <c r="L24" s="175"/>
      <c r="M24" s="175" t="str">
        <f>IF(Anamnesis!E28=7,1,"")</f>
        <v/>
      </c>
      <c r="N24" s="175"/>
      <c r="O24" s="176"/>
      <c r="P24" s="131">
        <v>0</v>
      </c>
      <c r="Q24" s="131">
        <v>2</v>
      </c>
      <c r="R24" s="131">
        <v>0</v>
      </c>
    </row>
    <row r="25" spans="1:18" x14ac:dyDescent="0.35">
      <c r="A25" s="218" t="s">
        <v>385</v>
      </c>
      <c r="B25" s="219"/>
      <c r="C25" s="219"/>
      <c r="D25" s="219"/>
      <c r="E25" s="175" t="str">
        <f>IF(Anamnesis!P26,1,"")</f>
        <v/>
      </c>
      <c r="F25" s="175"/>
      <c r="G25" s="175"/>
      <c r="H25" s="175" t="str">
        <f>IF(Anamnesis!E28=2,1,"")</f>
        <v/>
      </c>
      <c r="I25" s="175" t="str">
        <f>IF(Anamnesis!E28=3,1,"")</f>
        <v/>
      </c>
      <c r="J25" s="175"/>
      <c r="K25" s="175"/>
      <c r="L25" s="175"/>
      <c r="M25" s="175" t="str">
        <f>IF(Anamnesis!E28=7,1,"")</f>
        <v/>
      </c>
      <c r="N25" s="175"/>
      <c r="O25" s="176"/>
      <c r="P25" s="131"/>
      <c r="Q25" s="131"/>
      <c r="R25" s="131"/>
    </row>
    <row r="26" spans="1:18" x14ac:dyDescent="0.35">
      <c r="A26" s="218" t="s">
        <v>386</v>
      </c>
      <c r="B26" s="219"/>
      <c r="C26" s="219"/>
      <c r="D26" s="219"/>
      <c r="E26" s="175" t="str">
        <f>IF(Anamnesis!P26,1,"")</f>
        <v/>
      </c>
      <c r="F26" s="175"/>
      <c r="G26" s="175"/>
      <c r="H26" s="175" t="str">
        <f>IF(Anamnesis!E28=2,1,"")</f>
        <v/>
      </c>
      <c r="I26" s="175" t="str">
        <f>IF(Anamnesis!E28=3,1,"")</f>
        <v/>
      </c>
      <c r="J26" s="175" t="str">
        <f>IF(Anamnesis!E28=4,1,"")</f>
        <v/>
      </c>
      <c r="K26" s="175" t="str">
        <f>IF(Anamnesis!E28=5,1,"")</f>
        <v/>
      </c>
      <c r="L26" s="175" t="str">
        <f>IF(Anamnesis!E28=6,1,"")</f>
        <v/>
      </c>
      <c r="M26" s="175" t="str">
        <f>IF(Anamnesis!E28=7,1,"")</f>
        <v/>
      </c>
      <c r="N26" s="175" t="str">
        <f>IF(Anamnesis!E28=8,1,"")</f>
        <v/>
      </c>
      <c r="O26" s="176"/>
      <c r="P26" s="131">
        <v>-1</v>
      </c>
      <c r="Q26" s="131">
        <v>2</v>
      </c>
      <c r="R26" s="131">
        <v>0</v>
      </c>
    </row>
    <row r="27" spans="1:18" x14ac:dyDescent="0.35">
      <c r="A27" s="218" t="s">
        <v>387</v>
      </c>
      <c r="B27" s="219"/>
      <c r="C27" s="219"/>
      <c r="D27" s="219"/>
      <c r="E27" s="175" t="str">
        <f>IF(Anamnesis!P26,1,"")</f>
        <v/>
      </c>
      <c r="F27" s="175" t="str">
        <f>IF(Anamnesis!P27,1,"")</f>
        <v/>
      </c>
      <c r="G27" s="175"/>
      <c r="H27" s="175" t="str">
        <f>IF(Anamnesis!E28=2,1,"")</f>
        <v/>
      </c>
      <c r="I27" s="175" t="str">
        <f>IF(Anamnesis!E28=3,1,"")</f>
        <v/>
      </c>
      <c r="J27" s="175" t="str">
        <f>IF(Anamnesis!E28=4,1,"")</f>
        <v/>
      </c>
      <c r="K27" s="175" t="str">
        <f>IF(Anamnesis!E28=5,1,"")</f>
        <v/>
      </c>
      <c r="L27" s="175" t="str">
        <f>IF(Anamnesis!E28=6,1,"")</f>
        <v/>
      </c>
      <c r="M27" s="175" t="str">
        <f>IF(Anamnesis!E28=7,1,"")</f>
        <v/>
      </c>
      <c r="N27" s="175" t="str">
        <f>IF(Anamnesis!E28=8,1,"")</f>
        <v/>
      </c>
      <c r="O27" s="176"/>
      <c r="P27" s="131"/>
      <c r="Q27" s="131"/>
      <c r="R27" s="131"/>
    </row>
    <row r="28" spans="1:18" ht="15" thickBot="1" x14ac:dyDescent="0.4">
      <c r="A28" s="214" t="s">
        <v>388</v>
      </c>
      <c r="B28" s="215"/>
      <c r="C28" s="215"/>
      <c r="D28" s="215"/>
      <c r="E28" s="177"/>
      <c r="F28" s="177"/>
      <c r="G28" s="177"/>
      <c r="H28" s="177" t="str">
        <f>IF(Anamnesis!E28=2,1,"")</f>
        <v/>
      </c>
      <c r="I28" s="177" t="str">
        <f>IF(Anamnesis!E28=3,1,"")</f>
        <v/>
      </c>
      <c r="J28" s="177" t="str">
        <f>IF(Anamnesis!E28=4,1,"")</f>
        <v/>
      </c>
      <c r="K28" s="177" t="str">
        <f>IF(Anamnesis!E28=5,1,"")</f>
        <v/>
      </c>
      <c r="L28" s="177"/>
      <c r="M28" s="177"/>
      <c r="N28" s="177"/>
      <c r="O28" s="178"/>
      <c r="P28" s="131"/>
      <c r="Q28" s="131"/>
      <c r="R28" s="131"/>
    </row>
    <row r="29" spans="1:18" ht="15" thickBot="1" x14ac:dyDescent="0.4">
      <c r="A29" s="162" t="s">
        <v>389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4"/>
      <c r="P29" s="135"/>
      <c r="Q29" s="135"/>
      <c r="R29" s="135"/>
    </row>
    <row r="30" spans="1:18" x14ac:dyDescent="0.35">
      <c r="A30" s="212" t="s">
        <v>390</v>
      </c>
      <c r="B30" s="213"/>
      <c r="C30" s="213"/>
      <c r="D30" s="213"/>
      <c r="E30" s="171" t="str">
        <f>IF(Anamnesis!P26,1,"")</f>
        <v/>
      </c>
      <c r="F30" s="172"/>
      <c r="G30" s="172"/>
      <c r="H30" s="172"/>
      <c r="I30" s="172" t="str">
        <f>IF(Anamnesis!E28=3,1,"")</f>
        <v/>
      </c>
      <c r="J30" s="172" t="str">
        <f>IF(Anamnesis!E28=4,1,"")</f>
        <v/>
      </c>
      <c r="K30" s="172" t="str">
        <f>IF(Anamnesis!E28=5,1,"")</f>
        <v/>
      </c>
      <c r="L30" s="172" t="str">
        <f>IF(Anamnesis!E28=6,1,"")</f>
        <v/>
      </c>
      <c r="M30" s="172" t="str">
        <f>IF(Anamnesis!E28=7,1,"")</f>
        <v/>
      </c>
      <c r="N30" s="172" t="str">
        <f>IF(Anamnesis!E28=8,1,"")</f>
        <v/>
      </c>
      <c r="O30" s="173"/>
      <c r="P30" s="131"/>
      <c r="Q30" s="131"/>
      <c r="R30" s="131"/>
    </row>
    <row r="31" spans="1:18" ht="15" thickBot="1" x14ac:dyDescent="0.4">
      <c r="A31" s="214" t="s">
        <v>391</v>
      </c>
      <c r="B31" s="215"/>
      <c r="C31" s="215"/>
      <c r="D31" s="215"/>
      <c r="E31" s="179" t="str">
        <f>IF(Anamnesis!P26,1,"")</f>
        <v/>
      </c>
      <c r="F31" s="180"/>
      <c r="G31" s="180"/>
      <c r="H31" s="180"/>
      <c r="I31" s="180" t="str">
        <f>IF(Anamnesis!E28=3,1,"")</f>
        <v/>
      </c>
      <c r="J31" s="180" t="str">
        <f>IF(Anamnesis!E28=4,1,"")</f>
        <v/>
      </c>
      <c r="K31" s="180" t="str">
        <f>IF(Anamnesis!E28=5,1,"")</f>
        <v/>
      </c>
      <c r="L31" s="180"/>
      <c r="M31" s="180"/>
      <c r="N31" s="180"/>
      <c r="O31" s="181"/>
      <c r="P31" s="131">
        <v>2</v>
      </c>
      <c r="Q31" s="131">
        <v>1</v>
      </c>
      <c r="R31" s="131">
        <v>0</v>
      </c>
    </row>
    <row r="32" spans="1:18" ht="15" thickBot="1" x14ac:dyDescent="0.4">
      <c r="A32" s="162" t="s">
        <v>393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135"/>
      <c r="Q32" s="135"/>
      <c r="R32" s="135"/>
    </row>
    <row r="33" spans="1:15" ht="15" thickBot="1" x14ac:dyDescent="0.4">
      <c r="A33" s="216" t="s">
        <v>392</v>
      </c>
      <c r="B33" s="217"/>
      <c r="C33" s="217"/>
      <c r="D33" s="217"/>
      <c r="E33" s="182" t="str">
        <f>IF(Anamnesis!P26,1,"")</f>
        <v/>
      </c>
      <c r="F33" s="183" t="str">
        <f>IF(Anamnesis!P27,1,"")</f>
        <v/>
      </c>
      <c r="G33" s="183"/>
      <c r="H33" s="183"/>
      <c r="I33" s="183" t="str">
        <f>IF(Anamnesis!E28=3,1,"")</f>
        <v/>
      </c>
      <c r="J33" s="183" t="str">
        <f>IF(Anamnesis!E28=4,1,"")</f>
        <v/>
      </c>
      <c r="K33" s="183" t="str">
        <f>IF(Anamnesis!E28=5,1,"")</f>
        <v/>
      </c>
      <c r="L33" s="183"/>
      <c r="M33" s="183" t="str">
        <f>IF(Anamnesis!E28=7,1,"")</f>
        <v/>
      </c>
      <c r="N33" s="183"/>
      <c r="O33" s="184"/>
    </row>
  </sheetData>
  <sheetProtection algorithmName="SHA-512" hashValue="LO4HASRWpN1NvNzwadbhnCYB+AwcUPbyf31b3V0dxW7x7xgIihRye80iGhojLbATSkyL1LGjEXBF/ubFND49tg==" saltValue="k5qzEbNpIGA/tjEnJ095Gw==" spinCount="100000" sheet="1" objects="1" scenarios="1"/>
  <mergeCells count="26">
    <mergeCell ref="A3:D3"/>
    <mergeCell ref="A4:D4"/>
    <mergeCell ref="A5:D5"/>
    <mergeCell ref="A12:D12"/>
    <mergeCell ref="A14:D14"/>
    <mergeCell ref="A15:D15"/>
    <mergeCell ref="A17:D17"/>
    <mergeCell ref="A6:D6"/>
    <mergeCell ref="A7:D7"/>
    <mergeCell ref="A8:D8"/>
    <mergeCell ref="A9:D9"/>
    <mergeCell ref="A10:D10"/>
    <mergeCell ref="A11:D11"/>
    <mergeCell ref="A18:D18"/>
    <mergeCell ref="A20:D20"/>
    <mergeCell ref="A21:D21"/>
    <mergeCell ref="A22:D22"/>
    <mergeCell ref="A23:D23"/>
    <mergeCell ref="A30:D30"/>
    <mergeCell ref="A31:D31"/>
    <mergeCell ref="A33:D33"/>
    <mergeCell ref="A24:D24"/>
    <mergeCell ref="A25:D25"/>
    <mergeCell ref="A26:D26"/>
    <mergeCell ref="A27:D27"/>
    <mergeCell ref="A28:D28"/>
  </mergeCells>
  <conditionalFormatting sqref="E3:O12">
    <cfRule type="cellIs" dxfId="41" priority="6" operator="equal">
      <formula>1</formula>
    </cfRule>
  </conditionalFormatting>
  <conditionalFormatting sqref="E14:O15">
    <cfRule type="cellIs" dxfId="40" priority="5" operator="equal">
      <formula>1</formula>
    </cfRule>
  </conditionalFormatting>
  <conditionalFormatting sqref="E17:O18">
    <cfRule type="cellIs" dxfId="39" priority="4" operator="equal">
      <formula>1</formula>
    </cfRule>
  </conditionalFormatting>
  <conditionalFormatting sqref="E20:O28">
    <cfRule type="cellIs" dxfId="38" priority="3" operator="equal">
      <formula>1</formula>
    </cfRule>
  </conditionalFormatting>
  <conditionalFormatting sqref="E30:O31">
    <cfRule type="cellIs" dxfId="37" priority="2" operator="equal">
      <formula>1</formula>
    </cfRule>
  </conditionalFormatting>
  <conditionalFormatting sqref="E33:O33">
    <cfRule type="cellIs" dxfId="36" priority="1" operator="equal">
      <formula>1</formula>
    </cfRule>
  </conditionalFormatting>
  <pageMargins left="0.7" right="0.7" top="0.75" bottom="0.75" header="0.3" footer="0.3"/>
  <pageSetup paperSize="9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EA7EB-FF2E-4ECE-A11F-251D6DCBC042}">
  <dimension ref="A1:AL53"/>
  <sheetViews>
    <sheetView zoomScale="70" zoomScaleNormal="70" workbookViewId="0">
      <selection activeCell="P1" sqref="P1"/>
    </sheetView>
  </sheetViews>
  <sheetFormatPr defaultRowHeight="14.5" x14ac:dyDescent="0.35"/>
  <cols>
    <col min="1" max="15" width="8.7265625" style="1"/>
    <col min="16" max="16" width="8.7265625" style="17"/>
    <col min="17" max="16384" width="8.7265625" style="1"/>
  </cols>
  <sheetData>
    <row r="1" spans="1:38" ht="14.5" customHeight="1" x14ac:dyDescent="0.35">
      <c r="A1" s="240" t="s">
        <v>76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16">
        <f>Anamnesis!P4</f>
        <v>3</v>
      </c>
      <c r="T1" s="227" t="s">
        <v>77</v>
      </c>
      <c r="U1" s="228"/>
      <c r="V1" s="228"/>
      <c r="W1" s="229"/>
      <c r="X1" s="230" t="s">
        <v>78</v>
      </c>
      <c r="Y1" s="231"/>
      <c r="Z1" s="231"/>
      <c r="AA1" s="232"/>
      <c r="AE1" s="227" t="s">
        <v>79</v>
      </c>
      <c r="AF1" s="228"/>
      <c r="AG1" s="228"/>
      <c r="AH1" s="229"/>
      <c r="AI1" s="230" t="s">
        <v>80</v>
      </c>
      <c r="AJ1" s="231"/>
      <c r="AK1" s="231"/>
      <c r="AL1" s="232"/>
    </row>
    <row r="2" spans="1:38" ht="14.5" customHeight="1" thickBot="1" x14ac:dyDescent="0.4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T2" s="18" t="s">
        <v>81</v>
      </c>
      <c r="U2" s="19" t="s">
        <v>82</v>
      </c>
      <c r="V2" s="19" t="s">
        <v>83</v>
      </c>
      <c r="W2" s="20" t="s">
        <v>84</v>
      </c>
      <c r="X2" s="18" t="s">
        <v>81</v>
      </c>
      <c r="Y2" s="19" t="s">
        <v>82</v>
      </c>
      <c r="Z2" s="19" t="s">
        <v>83</v>
      </c>
      <c r="AA2" s="20" t="s">
        <v>84</v>
      </c>
      <c r="AE2" s="18" t="s">
        <v>81</v>
      </c>
      <c r="AF2" s="19" t="s">
        <v>82</v>
      </c>
      <c r="AG2" s="19" t="s">
        <v>83</v>
      </c>
      <c r="AH2" s="20" t="s">
        <v>84</v>
      </c>
      <c r="AI2" s="18" t="s">
        <v>81</v>
      </c>
      <c r="AJ2" s="19" t="s">
        <v>82</v>
      </c>
      <c r="AK2" s="19" t="s">
        <v>83</v>
      </c>
      <c r="AL2" s="20" t="s">
        <v>84</v>
      </c>
    </row>
    <row r="3" spans="1:38" x14ac:dyDescent="0.35">
      <c r="A3" s="207" t="s">
        <v>85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17" t="s">
        <v>11</v>
      </c>
      <c r="R3" s="236" t="s">
        <v>86</v>
      </c>
      <c r="S3" s="21" t="s">
        <v>87</v>
      </c>
      <c r="T3" s="22">
        <v>62</v>
      </c>
      <c r="U3" s="23">
        <v>63</v>
      </c>
      <c r="V3" s="23">
        <v>64</v>
      </c>
      <c r="W3" s="24">
        <v>65</v>
      </c>
      <c r="X3" s="22">
        <v>65</v>
      </c>
      <c r="Y3" s="23">
        <v>66</v>
      </c>
      <c r="Z3" s="23">
        <v>67</v>
      </c>
      <c r="AA3" s="24">
        <v>68</v>
      </c>
      <c r="AC3" s="236" t="s">
        <v>86</v>
      </c>
      <c r="AD3" s="21" t="s">
        <v>87</v>
      </c>
      <c r="AE3" s="22">
        <v>49</v>
      </c>
      <c r="AF3" s="23">
        <v>54</v>
      </c>
      <c r="AG3" s="23">
        <v>59</v>
      </c>
      <c r="AH3" s="24">
        <v>64</v>
      </c>
      <c r="AI3" s="22">
        <v>49</v>
      </c>
      <c r="AJ3" s="23">
        <v>54</v>
      </c>
      <c r="AK3" s="23">
        <v>59</v>
      </c>
      <c r="AL3" s="24">
        <v>64</v>
      </c>
    </row>
    <row r="4" spans="1:38" x14ac:dyDescent="0.35">
      <c r="A4" s="207" t="s">
        <v>88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17" t="s">
        <v>12</v>
      </c>
      <c r="R4" s="237"/>
      <c r="S4" s="25" t="s">
        <v>89</v>
      </c>
      <c r="T4" s="26">
        <v>60</v>
      </c>
      <c r="U4" s="27">
        <v>61</v>
      </c>
      <c r="V4" s="27">
        <v>62</v>
      </c>
      <c r="W4" s="28">
        <v>63</v>
      </c>
      <c r="X4" s="26">
        <v>63</v>
      </c>
      <c r="Y4" s="27">
        <v>64</v>
      </c>
      <c r="Z4" s="27">
        <v>65</v>
      </c>
      <c r="AA4" s="28">
        <v>66</v>
      </c>
      <c r="AC4" s="237"/>
      <c r="AD4" s="25" t="s">
        <v>89</v>
      </c>
      <c r="AE4" s="26">
        <v>48</v>
      </c>
      <c r="AF4" s="27">
        <v>53</v>
      </c>
      <c r="AG4" s="27">
        <v>58</v>
      </c>
      <c r="AH4" s="28">
        <v>63</v>
      </c>
      <c r="AI4" s="26">
        <v>48</v>
      </c>
      <c r="AJ4" s="27">
        <v>53</v>
      </c>
      <c r="AK4" s="27">
        <v>58</v>
      </c>
      <c r="AL4" s="28">
        <v>63</v>
      </c>
    </row>
    <row r="5" spans="1:38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R5" s="237"/>
      <c r="S5" s="25" t="s">
        <v>90</v>
      </c>
      <c r="T5" s="26">
        <v>58</v>
      </c>
      <c r="U5" s="27">
        <v>59</v>
      </c>
      <c r="V5" s="27">
        <v>60</v>
      </c>
      <c r="W5" s="28">
        <v>61</v>
      </c>
      <c r="X5" s="26">
        <v>61</v>
      </c>
      <c r="Y5" s="27">
        <v>62</v>
      </c>
      <c r="Z5" s="27">
        <v>63</v>
      </c>
      <c r="AA5" s="28">
        <v>65</v>
      </c>
      <c r="AC5" s="237"/>
      <c r="AD5" s="25" t="s">
        <v>90</v>
      </c>
      <c r="AE5" s="26">
        <v>47</v>
      </c>
      <c r="AF5" s="27">
        <v>52</v>
      </c>
      <c r="AG5" s="27">
        <v>56</v>
      </c>
      <c r="AH5" s="28">
        <v>61</v>
      </c>
      <c r="AI5" s="26">
        <v>47</v>
      </c>
      <c r="AJ5" s="27">
        <v>52</v>
      </c>
      <c r="AK5" s="27">
        <v>56</v>
      </c>
      <c r="AL5" s="28">
        <v>61</v>
      </c>
    </row>
    <row r="6" spans="1:38" ht="15" thickBot="1" x14ac:dyDescent="0.4">
      <c r="L6" s="6"/>
      <c r="O6" s="14"/>
      <c r="P6" s="29" t="s">
        <v>91</v>
      </c>
      <c r="R6" s="238"/>
      <c r="S6" s="30" t="s">
        <v>92</v>
      </c>
      <c r="T6" s="31">
        <v>56</v>
      </c>
      <c r="U6" s="32">
        <v>57</v>
      </c>
      <c r="V6" s="32">
        <v>58</v>
      </c>
      <c r="W6" s="33">
        <v>60</v>
      </c>
      <c r="X6" s="31">
        <v>59</v>
      </c>
      <c r="Y6" s="32">
        <v>60</v>
      </c>
      <c r="Z6" s="32">
        <v>61</v>
      </c>
      <c r="AA6" s="33">
        <v>63</v>
      </c>
      <c r="AC6" s="238"/>
      <c r="AD6" s="30" t="s">
        <v>92</v>
      </c>
      <c r="AE6" s="31">
        <v>46</v>
      </c>
      <c r="AF6" s="32">
        <v>50</v>
      </c>
      <c r="AG6" s="32">
        <v>55</v>
      </c>
      <c r="AH6" s="33">
        <v>60</v>
      </c>
      <c r="AI6" s="31">
        <v>46</v>
      </c>
      <c r="AJ6" s="32">
        <v>50</v>
      </c>
      <c r="AK6" s="32">
        <v>55</v>
      </c>
      <c r="AL6" s="33">
        <v>60</v>
      </c>
    </row>
    <row r="7" spans="1:38" x14ac:dyDescent="0.35">
      <c r="A7" s="34" t="s">
        <v>73</v>
      </c>
      <c r="J7" s="2">
        <f>IF(AND(P1=1,B9&gt;84,B9&lt;90,C11&gt;159,C11&lt;180,D13&gt;2.9,D13&lt;4,D15=3),AE3,IF(AND(P1=1,B9&gt;84,B9&lt;90,C11&gt;139,C11&lt;160,D13&gt;2.9,D13&lt;4,D15=3),AE4,IF(AND(P1=1,B9&gt;84,B9&lt;90,C11&gt;119,C11&lt;140,D13&gt;2.9,D13&lt;4,D15=3),AE5,IF(AND(P1=1,B9&gt;84,B9&lt;90,C11&gt;109,C11&lt;120,D13&gt;2.9,D13&lt;4,D15=3),AE6,IF(AND(P1=1,B9&gt;79,B9&lt;85,C11&gt;159,C11&lt;180,D13&gt;2.9,D13&lt;4,D15=3),AE7,IF(AND(P1=1,B9&gt;79,B9&lt;85,C11&gt;139,C11&lt;160,D13&gt;2.9,D13&lt;4,D15=3),AE8,IF(AND(P1=1,B9&gt;79,B9&lt;85,C11&gt;119,C11&lt;140,D13&gt;2.9,D13&lt;4,D15=3),AE9,IF(AND(P1=1,B9&gt;79,B9&lt;85,C11&gt;109,C11&lt;120,D13&gt;2.9,D13&lt;4,D15=3),AE10,IF(AND(P1=1,B9&gt;74,B9&lt;80,C11&gt;159,C11&lt;180,D13&gt;2.9,D13&lt;4,D15=3),AE11,IF(AND(P1=1,B9&gt;74,B9&lt;80,C11&gt;139,C11&lt;160,D13&gt;2.9,D13&lt;4,D15=3),AE12,IF(AND(P1=1,B9&gt;74,B9&lt;80,C11&gt;119,C11&lt;140,D13&gt;2.9,D13&lt;4,D15=3),AE13,IF(AND(P1=1,B9&gt;74,B9&lt;80,C11&gt;109,C11&lt;120,D13&gt;2.9,D13&lt;4,D15=3),AE14,IF(AND(P1=1,B9&gt;69,B9&lt;75,C11&gt;159,C11&lt;180,D13&gt;2.9,D13&lt;4,D15=3),AE15,IF(AND(P1=1,B9&gt;69,B9&lt;75,C11&gt;139,C11&lt;160,D13&gt;2.9,D13&lt;4,D15=3),AE16,IF(AND(P1=1,B9&gt;69,B9&lt;75,C11&gt;119,C11&lt;140,D13&gt;2.9,D13&lt;4,D15=3),AE17,IF(AND(P1=1,B9&gt;69,B9&lt;75,C11&gt;109,C11&lt;120,D13&gt;2.9,D13&lt;4,D15=3),AE18,IF(AND(P1=1,B9&gt;84,B9&lt;90,C11&gt;159,C11&lt;180,D13&gt;2.9,D13&lt;4,D15=2),AI3,IF(AND(P1=1,B9&gt;84,B9&lt;90,C11&gt;139,C11&lt;160,D13&gt;2.9,D13&lt;4,D15=2),AI4,IF(AND(P1=1,B9&gt;84,B9&lt;90,C11&gt;119,C11&lt;140,D13&gt;2.9,D13&lt;4,D15=2),AI5,IF(AND(P1=1,B9&gt;84,B9&lt;90,C11&gt;109,C11&lt;120,D13&gt;2.9,D13&lt;4,D15=2),AI6,IF(AND(P1=1,B9&gt;79,B9&lt;85,C11&gt;159,C11&lt;180,D13&gt;2.9,D13&lt;4,D15=2),AI7,IF(AND(P1=1,B9&gt;79,B9&lt;85,C11&gt;139,C11&lt;160,D13&gt;2.9,D13&lt;4,D15=2),AI8,IF(AND(P1=1,B9&gt;79,B9&lt;85,C11&gt;119,C11&lt;140,D13&gt;2.9,D13&lt;4,D15=2),AI9,IF(AND(P1=1,B9&gt;79,B9&lt;85,C11&gt;109,C11&lt;120,D13&gt;2.9,D13&lt;4,D15=2),AI10,IF(AND(P1=1,B9&gt;74,B9&lt;80,C11&gt;159,C11&lt;180,D13&gt;2.9,D13&lt;4,D15=2),AI11,IF(AND(P1=1,B9&gt;74,B9&lt;80,C11&gt;139,C11&lt;160,D13&gt;2.9,D13&lt;4,D15=2),AI12,IF(AND(P1=1,B9&gt;74,B9&lt;80,C11&gt;119,C11&lt;140,D13&gt;2.9,D13&lt;4,D15=2),AI13,IF(AND(P1=1,B9&gt;74,B9&lt;80,C11&gt;109,C11&lt;120,D13&gt;2.9,D13&lt;4,D15=2),AI14,IF(AND(P1=1,B9&gt;69,B9&lt;75,C11&gt;159,C11&lt;180,D13&gt;2.9,D13&lt;4,D15=2),AI15,IF(AND(P1=1,B9&gt;69,B9&lt;75,C11&gt;139,C11&lt;160,D13&gt;2.9,D13&lt;4,D15=2),AI16,IF(AND(P1=1,B9&gt;69,B9&lt;75,C11&gt;119,C11&lt;140,D13&gt;2.9,D13&lt;4,D15=2),AI17,IF(AND(P1=1,B9&gt;69,B9&lt;75,C11&gt;109,C11&lt;120,D13&gt;2.9,D13&lt;4,D15=2),AI18,P8))))))))))))))))))))))))))))))))</f>
        <v>0</v>
      </c>
      <c r="K7" s="1" t="str">
        <f>IF(J7&gt;0,P7,IF(J7=0,"",""))</f>
        <v/>
      </c>
      <c r="L7" s="6"/>
      <c r="M7" s="35" t="str">
        <f>IF(N7&gt;0,P6,IF(N7="","",""))</f>
        <v/>
      </c>
      <c r="N7" s="2">
        <f>IF(AND(P1=2,B9&gt;84,B9&lt;90,C11&gt;159,C11&lt;180,D13&gt;2.9,D13&lt;4,D15=3),T3,IF(AND(P1=2,B9&gt;84,B9&lt;90,C11&gt;139,C11&lt;160,D13&gt;2.9,D13&lt;4,D15=3),T4,IF(AND(P1=2,B9&gt;84,B9&lt;90,C11&gt;119,C11&lt;140,D13&gt;2.9,D13&lt;4,D15=3),T5,IF(AND(P1=2,B9&gt;84,B9&lt;90,C11&gt;109,C11&lt;120,D13&gt;2.9,D13&lt;4,D15=3),T6,IF(AND(P1=2,B9&gt;79,B9&lt;85,C11&gt;159,C11&lt;180,D13&gt;2.9,D13&lt;4,D15=3),T7,IF(AND(P1=2,B9&gt;79,B9&lt;85,C11&gt;139,C11&lt;160,D13&gt;2.9,D13&lt;4,D15=3),T8,IF(AND(P1=2,B9&gt;79,B9&lt;85,C11&gt;119,C11&lt;140,D13&gt;2.9,D13&lt;4,D15=3),T9,IF(AND(P1=2,B9&gt;79,B9&lt;85,C11&gt;109,C11&lt;120,D13&gt;2.9,D13&lt;4,D15=3),T10,IF(AND(P1=2,B9&gt;74,B9&lt;80,C11&gt;159,C11&lt;180,D13&gt;2.9,D13&lt;4,D15=3),T11,IF(AND(P1=2,B9&gt;74,B9&lt;80,C11&gt;139,C11&lt;160,D13&gt;2.9,D13&lt;4,D15=3),T12,IF(AND(P1=2,B9&gt;74,B9&lt;80,C11&gt;119,C11&lt;140,D13&gt;2.9,D13&lt;4,D15=3),T13,IF(AND(P1=2,B9&gt;74,B9&lt;80,C11&gt;109,C11&lt;120,D13&gt;2.9,D13&lt;4,D15=3),T14,IF(AND(P1=2,B9&gt;69,B9&lt;75,C11&gt;159,C11&lt;180,D13&gt;2.9,D13&lt;4,D15=3),T15,IF(AND(P1=2,B9&gt;69,B9&lt;75,C11&gt;139,C11&lt;160,D13&gt;2.9,D13&lt;4,D15=3),T16,IF(AND(P1=2,B9&gt;69,B9&lt;75,C11&gt;119,C11&lt;140,D13&gt;2.9,D13&lt;4,D15=3),T17,IF(AND(P1=2,B9&gt;69,B9&lt;75,C11&gt;109,C11&lt;120,D13&gt;2.9,D13&lt;4,D15=3),T18,IF(AND(P1=2,B9&gt;84,B9&lt;90,C11&gt;159,C11&lt;180,D13&gt;2.9,D13&lt;4,D15=2),X3,IF(AND(P1=2,B9&gt;84,B9&lt;90,C11&gt;139,C11&lt;160,D13&gt;2.9,D13&lt;4,D15=2),X4,IF(AND(P1=2,B9&gt;84,B9&lt;90,C11&gt;119,C11&lt;140,D13&gt;2.9,D13&lt;4,D15=2),X5,IF(AND(P1=2,B9&gt;84,B9&lt;90,C11&gt;109,C11&lt;120,D13&gt;2.9,D13&lt;4,D15=2),X6,IF(AND(P1=2,B9&gt;79,B9&lt;85,C11&gt;159,C11&lt;180,D13&gt;2.9,D13&lt;4,D15=2),X7,IF(AND(P1=2,B9&gt;79,B9&lt;85,C11&gt;139,C11&lt;160,D13&gt;2.9,D13&lt;4,D15=2),X8,IF(AND(P1=2,B9&gt;79,B9&lt;85,C11&gt;119,C11&lt;140,D13&gt;2.9,D13&lt;4,D15=2),X9,IF(AND(P1=2,B9&gt;79,B9&lt;85,C11&gt;109,C11&lt;120,D13&gt;2.9,D13&lt;4,D15=2),X10,IF(AND(P1=2,B9&gt;74,B9&lt;80,C11&gt;159,C11&lt;180,D13&gt;2.9,D13&lt;4,D15=2),X11,IF(AND(P1=2,B9&gt;74,B9&lt;80,C11&gt;139,C11&lt;160,D13&gt;2.9,D13&lt;4,D15=2),X12,IF(AND(P1=2,B9&gt;74,B9&lt;80,C11&gt;119,C11&lt;140,D13&gt;2.9,D13&lt;4,D15=2),X13,IF(AND(P1=2,B9&gt;74,B9&lt;80,C11&gt;109,C11&lt;120,D13&gt;2.9,D13&lt;4,D15=2),X14,IF(AND(P1=2,B9&gt;69,B9&lt;75,C11&gt;159,C11&lt;180,D13&gt;2.9,D13&lt;4,D15=2),X15,IF(AND(P1=2,B9&gt;69,B9&lt;75,C11&gt;139,C11&lt;160,D13&gt;2.9,D13&lt;4,D15=2),X16,IF(AND(P1=2,B9&gt;69,B9&lt;75,C11&gt;119,C11&lt;140,D13&gt;2.9,D13&lt;4,D15=2),X17,IF(AND(P1=2,B9&gt;69,B9&lt;75,C11&gt;109,C11&lt;120,D13&gt;2.9,D13&lt;4,D15=2),X18,P8))))))))))))))))))))))))))))))))</f>
        <v>0</v>
      </c>
      <c r="O7" s="2"/>
      <c r="P7" s="29" t="s">
        <v>93</v>
      </c>
      <c r="R7" s="233" t="s">
        <v>94</v>
      </c>
      <c r="S7" s="36" t="s">
        <v>87</v>
      </c>
      <c r="T7" s="22">
        <v>53</v>
      </c>
      <c r="U7" s="23">
        <v>54</v>
      </c>
      <c r="V7" s="23">
        <v>55</v>
      </c>
      <c r="W7" s="24">
        <v>57</v>
      </c>
      <c r="X7" s="22">
        <v>59</v>
      </c>
      <c r="Y7" s="23">
        <v>60</v>
      </c>
      <c r="Z7" s="23">
        <v>62</v>
      </c>
      <c r="AA7" s="24">
        <v>63</v>
      </c>
      <c r="AC7" s="233" t="s">
        <v>94</v>
      </c>
      <c r="AD7" s="36" t="s">
        <v>87</v>
      </c>
      <c r="AE7" s="22">
        <v>44</v>
      </c>
      <c r="AF7" s="23">
        <v>48</v>
      </c>
      <c r="AG7" s="23">
        <v>52</v>
      </c>
      <c r="AH7" s="24">
        <v>56</v>
      </c>
      <c r="AI7" s="22">
        <v>47</v>
      </c>
      <c r="AJ7" s="23">
        <v>51</v>
      </c>
      <c r="AK7" s="23">
        <v>55</v>
      </c>
      <c r="AL7" s="24">
        <v>59</v>
      </c>
    </row>
    <row r="8" spans="1:38" x14ac:dyDescent="0.35">
      <c r="L8" s="6"/>
      <c r="O8" s="14"/>
      <c r="P8" s="17">
        <v>0</v>
      </c>
      <c r="R8" s="234"/>
      <c r="S8" s="37" t="s">
        <v>89</v>
      </c>
      <c r="T8" s="26">
        <v>50</v>
      </c>
      <c r="U8" s="27">
        <v>51</v>
      </c>
      <c r="V8" s="27">
        <v>52</v>
      </c>
      <c r="W8" s="28">
        <v>54</v>
      </c>
      <c r="X8" s="26">
        <v>56</v>
      </c>
      <c r="Y8" s="27">
        <v>57</v>
      </c>
      <c r="Z8" s="27">
        <v>59</v>
      </c>
      <c r="AA8" s="28">
        <v>60</v>
      </c>
      <c r="AC8" s="234"/>
      <c r="AD8" s="37" t="s">
        <v>89</v>
      </c>
      <c r="AE8" s="26">
        <v>42</v>
      </c>
      <c r="AF8" s="27">
        <v>46</v>
      </c>
      <c r="AG8" s="27">
        <v>49</v>
      </c>
      <c r="AH8" s="28">
        <v>53</v>
      </c>
      <c r="AI8" s="26">
        <v>45</v>
      </c>
      <c r="AJ8" s="27">
        <v>49</v>
      </c>
      <c r="AK8" s="27">
        <v>52</v>
      </c>
      <c r="AL8" s="28">
        <v>56</v>
      </c>
    </row>
    <row r="9" spans="1:38" x14ac:dyDescent="0.35">
      <c r="A9" s="34" t="s">
        <v>2</v>
      </c>
      <c r="B9" s="68">
        <f>Anamnesis!I4</f>
        <v>0</v>
      </c>
      <c r="C9" s="1" t="s">
        <v>3</v>
      </c>
      <c r="J9" s="2">
        <f>IF(AND(P1=1,B9&gt;84,B9&lt;90,C11&gt;159,C11&lt;180,D13&gt;3.9,D13&lt;5,D15=3),AF3,IF(AND(P1=1,B9&gt;84,B9&lt;90,C11&gt;139,C11&lt;160,D13&gt;3.9,D13&lt;5,D15=3),AF4,IF(AND(P1=1,B9&gt;84,B9&lt;90,C11&gt;119,C11&lt;140,D13&gt;3.9,D13&lt;5,D15=3),AF5,IF(AND(P1=1,B9&gt;84,B9&lt;90,C11&gt;109,C11&lt;120,D13&gt;3.9,D13&lt;5,D15=3),AF6,IF(AND(P1=1,B9&gt;79,B9&lt;85,C11&gt;159,C11&lt;180,D13&gt;3.9,D13&lt;5,D15=3),AF7,IF(AND(P1=1,B9&gt;79,B9&lt;85,C11&gt;139,C11&lt;160,D13&gt;3.9,D13&lt;5,D15=3),AF8,IF(AND(P1=1,B9&gt;79,B9&lt;85,C11&gt;119,C11&lt;140,D13&gt;3.9,D13&lt;5,D15=3),AF9,IF(AND(P1=1,B9&gt;79,B9&lt;85,C11&gt;109,C11&lt;120,D13&gt;3.9,D13&lt;5,D15=3),AF10,IF(AND(P1=1,B9&gt;74,B9&lt;80,C11&gt;159,C11&lt;180,D13&gt;3.9,D13&lt;5,D15=3),AF11,IF(AND(P1=1,B9&gt;74,B9&lt;80,C11&gt;139,C11&lt;160,D13&gt;3.9,D13&lt;5,D15=3),AF12,IF(AND(P1=1,B9&gt;74,B9&lt;80,C11&gt;119,C11&lt;140,D13&gt;3.9,D13&lt;5,D15=3),AF13,IF(AND(P1=1,B9&gt;74,B9&lt;80,C11&gt;109,C11&lt;120,D13&gt;3.9,D13&lt;5,D15=3),AF14,IF(AND(P1=1,B9&gt;69,B9&lt;75,C11&gt;159,C11&lt;180,D13&gt;3.9,D13&lt;5,D15=3),AF15,IF(AND(P1=1,B9&gt;69,B9&lt;75,C11&gt;139,C11&lt;160,D13&gt;3.9,D13&lt;5,D15=3),AF16,IF(AND(P1=1,B9&gt;69,B9&lt;75,C11&gt;119,C11&lt;140,D13&gt;3.9,D13&lt;5,D15=3),AF17,IF(AND(P1=1,B9&gt;69,B9&lt;75,C11&gt;109,C11&lt;120,D13&gt;3.9,D13&lt;5,D15=3),AF18,IF(AND(P1=1,B9&gt;84,B9&lt;90,C11&gt;159,C11&lt;180,D13&gt;3.9,D13&lt;5,D15=2),AJ3,IF(AND(P1=1,B9&gt;84,B9&lt;90,C11&gt;139,C11&lt;160,D13&gt;3.9,D13&lt;5,D15=2),AJ4,IF(AND(P1=1,B9&gt;84,B9&lt;90,C11&gt;119,C11&lt;140,D13&gt;3.9,D13&lt;5,D15=2),AJ5,IF(AND(P1=1,B9&gt;84,B9&lt;90,C11&gt;109,C11&lt;120,D13&gt;3.9,D13&lt;5,D15=2),AJ6,IF(AND(P1=1,B9&gt;79,B9&lt;85,C11&gt;159,C11&lt;180,D13&gt;3.9,D13&lt;5,D15=2),AJ7,IF(AND(P1=1,B9&gt;79,B9&lt;85,C11&gt;139,C11&lt;160,D13&gt;3.9,D13&lt;5,D15=2),AJ8,IF(AND(P1=1,B9&gt;79,B9&lt;85,C11&gt;119,C11&lt;140,D13&gt;3.9,D13&lt;5,D15=2),AJ9,IF(AND(P1=1,B9&gt;79,B9&lt;85,C11&gt;109,C11&lt;120,D13&gt;3.9,D13&lt;5,D15=2),AJ10,IF(AND(P1=1,B9&gt;74,B9&lt;80,C11&gt;159,C11&lt;180,D13&gt;3.9,D13&lt;5,D15=2),AJ11,IF(AND(P1=1,B9&gt;74,B9&lt;80,C11&gt;139,C11&lt;160,D13&gt;3.9,D13&lt;5,D15=2),AJ12,IF(AND(P1=1,B9&gt;74,B9&lt;80,C11&gt;119,C11&lt;140,D13&gt;3.9,D13&lt;5,D15=2),AJ13,IF(AND(P1=1,B9&gt;74,B9&lt;80,C11&gt;109,C11&lt;120,D13&gt;3.9,D13&lt;5,D15=2),AJ14,IF(AND(P1=1,B9&gt;69,B9&lt;75,C11&gt;159,C11&lt;180,D13&gt;3.9,D13&lt;5,D15=2),AJ15,IF(AND(P1=1,B9&gt;69,B9&lt;75,C11&gt;139,C11&lt;160,D13&gt;3.9,D13&lt;5,D15=2),AJ16,IF(AND(P1=1,B9&gt;69,B9&lt;75,C11&gt;119,C11&lt;140,D13&gt;3.9,D13&lt;5,D15=2),AJ17,IF(AND(P1=1,B9&gt;69,B9&lt;75,C11&gt;109,C11&lt;120,D13&gt;3.9,D13&lt;5,D15=2),AJ18,P8))))))))))))))))))))))))))))))))</f>
        <v>0</v>
      </c>
      <c r="K9" s="1" t="str">
        <f>IF(J9&gt;0,P7,IF(J9=0,"",""))</f>
        <v/>
      </c>
      <c r="L9" s="6"/>
      <c r="M9" s="35" t="str">
        <f>IF(N9&gt;0,P6,IF(N9=0,"",""))</f>
        <v/>
      </c>
      <c r="N9" s="2">
        <f>IF(AND(P1=2,B9&gt;84,B9&lt;90,C11&gt;159,C11&lt;180,D13&gt;3.9,D13&lt;5,D15=3),U3,IF(AND(P1=2,B9&gt;84,B9&lt;90,C11&gt;139,C11&lt;160,D13&gt;3.9,D13&lt;5,D15=3),U4,IF(AND(P1=2,B9&gt;84,B9&lt;90,C11&gt;119,C11&lt;140,D13&gt;3.9,D13&lt;5,D15=3),U5,IF(AND(P1=2,B9&gt;84,B9&lt;90,C11&gt;109,C11&lt;120,D13&gt;3.9,D13&lt;5,D15=3),U6,IF(AND(P1=2,B9&gt;79,B9&lt;85,C11&gt;159,C11&lt;180,D13&gt;3.9,D13&lt;5,D15=3),U7,IF(AND(P1=2,B9&gt;79,B9&lt;85,C11&gt;139,C11&lt;160,D13&gt;3.9,D13&lt;5,D15=3),U8,IF(AND(P1=2,B9&gt;79,B9&lt;85,C11&gt;119,C11&lt;140,D13&gt;3.9,D13&lt;5,D15=3),U9,IF(AND(P1=2,B9&gt;79,B9&lt;85,C11&gt;109,C11&lt;120,D13&gt;3.9,D13&lt;5,D15=3),U10,IF(AND(P1=2,B9&gt;74,B9&lt;80,C11&gt;159,C11&lt;180,D13&gt;3.9,D13&lt;5,D15=3),U11,IF(AND(P1=2,B9&gt;74,B9&lt;80,C11&gt;139,C11&lt;160,D13&gt;3.9,D13&lt;5,D15=3),U12,IF(AND(P1=2,B9&gt;74,B9&lt;80,C11&gt;119,C11&lt;140,D13&gt;3.9,D13&lt;5,D15=3),U13,IF(AND(P1=2,B9&gt;74,B9&lt;80,C11&gt;109,C11&lt;120,D13&gt;3.9,D13&lt;5,D15=3),U14,IF(AND(P1=2,B9&gt;69,B9&lt;75,C11&gt;159,C11&lt;180,D13&gt;3.9,D13&lt;5,D15=3),U15,IF(AND(P1=2,B9&gt;69,B9&lt;75,C11&gt;139,C11&lt;160,D13&gt;3.9,D13&lt;5,D15=3),U16,IF(AND(P1=2,B9&gt;69,B9&lt;75,C11&gt;119,C11&lt;140,D13&gt;3.9,D13&lt;5,D15=3),U17,IF(AND(P1=2,B9&gt;69,B9&lt;75,C11&gt;109,C11&lt;120,D13&gt;3.9,D13&lt;5,D15=3),U18,IF(AND(P1=2,B9&gt;84,B9&lt;90,C11&gt;159,C11&lt;180,D13&gt;3.9,D13&lt;5,D15=2),Y3,IF(AND(P1=2,B9&gt;84,B9&lt;90,C11&gt;139,C11&lt;160,D13&gt;3.9,D13&lt;5,D15=2),Y4,IF(AND(P1=2,B9&gt;84,B9&lt;90,C11&gt;119,C11&lt;140,D13&gt;3.9,D13&lt;5,D15=2),Y5,IF(AND(P1=2,B9&gt;84,B9&lt;90,C11&gt;109,C11&lt;120,D13&gt;3.9,D13&lt;5,D15=2),Y6,IF(AND(P1=2,B9&gt;79,B9&lt;85,C11&gt;159,C11&lt;180,D13&gt;3.9,D13&lt;5,D15=2),Y7,IF(AND(P1=2,B9&gt;79,B9&lt;85,C11&gt;139,C11&lt;160,D13&gt;3.9,D13&lt;5,D15=2),Y8,IF(AND(P1=2,B9&gt;79,B9&lt;85,C11&gt;119,C11&lt;140,D13&gt;3.9,D13&lt;5,D15=2),Y9,IF(AND(P1=2,B9&gt;79,B9&lt;85,C11&gt;109,C11&lt;120,D13&gt;3.9,D13&lt;5,D15=2),Y10,IF(AND(P1=2,B9&gt;74,B9&lt;80,C11&gt;159,C11&lt;180,D13&gt;3.9,D13&lt;5,D15=2),Y11,IF(AND(P1=2,B9&gt;74,B9&lt;80,C11&gt;139,C11&lt;160,D13&gt;3.9,D13&lt;5,D15=2),Y12,IF(AND(P1=2,B9&gt;74,B9&lt;80,C11&gt;119,C11&lt;140,D13&gt;3.9,D13&lt;5,D15=2),Y13,IF(AND(P1=2,B9&gt;74,B9&lt;80,C11&gt;109,C11&lt;120,D13&gt;3.9,D13&lt;5,D15=2),Y14,IF(AND(P1=2,B9&gt;69,B9&lt;75,C11&gt;159,C11&lt;180,D13&gt;3.9,D13&lt;5,D15=2),Y15,IF(AND(P1=2,B9&gt;69,B9&lt;75,C11&gt;139,C11&lt;160,D13&gt;3.9,D13&lt;5,D15=2),Y16,IF(AND(P1=2,B9&gt;69,B9&lt;75,C11&gt;119,C11&lt;140,D13&gt;3.9,D13&lt;5,D15=2),Y17,IF(AND(P1=2,B9&gt;69,B9&lt;75,C11&gt;109,C11&lt;120,D13&gt;3.9,D13&lt;5,D15=2),Y18,P8))))))))))))))))))))))))))))))))</f>
        <v>0</v>
      </c>
      <c r="O9" s="14"/>
      <c r="R9" s="234"/>
      <c r="S9" s="37" t="s">
        <v>90</v>
      </c>
      <c r="T9" s="26">
        <v>47</v>
      </c>
      <c r="U9" s="27">
        <v>48</v>
      </c>
      <c r="V9" s="27">
        <v>49</v>
      </c>
      <c r="W9" s="28">
        <v>51</v>
      </c>
      <c r="X9" s="26">
        <v>53</v>
      </c>
      <c r="Y9" s="27">
        <v>54</v>
      </c>
      <c r="Z9" s="27">
        <v>56</v>
      </c>
      <c r="AA9" s="28">
        <v>57</v>
      </c>
      <c r="AC9" s="234"/>
      <c r="AD9" s="37" t="s">
        <v>90</v>
      </c>
      <c r="AE9" s="26">
        <v>40</v>
      </c>
      <c r="AF9" s="27">
        <v>43</v>
      </c>
      <c r="AG9" s="27">
        <v>47</v>
      </c>
      <c r="AH9" s="28">
        <v>51</v>
      </c>
      <c r="AI9" s="26">
        <v>43</v>
      </c>
      <c r="AJ9" s="27">
        <v>46</v>
      </c>
      <c r="AK9" s="27">
        <v>50</v>
      </c>
      <c r="AL9" s="28">
        <v>54</v>
      </c>
    </row>
    <row r="10" spans="1:38" ht="15" thickBot="1" x14ac:dyDescent="0.4">
      <c r="L10" s="6"/>
      <c r="O10" s="14"/>
      <c r="R10" s="235"/>
      <c r="S10" s="38" t="s">
        <v>92</v>
      </c>
      <c r="T10" s="31">
        <v>44</v>
      </c>
      <c r="U10" s="32">
        <v>45</v>
      </c>
      <c r="V10" s="32">
        <v>47</v>
      </c>
      <c r="W10" s="33">
        <v>48</v>
      </c>
      <c r="X10" s="31">
        <v>50</v>
      </c>
      <c r="Y10" s="32">
        <v>51</v>
      </c>
      <c r="Z10" s="32">
        <v>53</v>
      </c>
      <c r="AA10" s="33">
        <v>54</v>
      </c>
      <c r="AC10" s="235"/>
      <c r="AD10" s="38" t="s">
        <v>92</v>
      </c>
      <c r="AE10" s="31">
        <v>38</v>
      </c>
      <c r="AF10" s="32">
        <v>41</v>
      </c>
      <c r="AG10" s="32">
        <v>45</v>
      </c>
      <c r="AH10" s="33">
        <v>48</v>
      </c>
      <c r="AI10" s="31">
        <v>40</v>
      </c>
      <c r="AJ10" s="32">
        <v>44</v>
      </c>
      <c r="AK10" s="32">
        <v>48</v>
      </c>
      <c r="AL10" s="33">
        <v>51</v>
      </c>
    </row>
    <row r="11" spans="1:38" x14ac:dyDescent="0.35">
      <c r="A11" s="207" t="s">
        <v>4</v>
      </c>
      <c r="B11" s="207"/>
      <c r="C11" s="68">
        <f>Anamnesis!C6</f>
        <v>0</v>
      </c>
      <c r="D11" s="1" t="s">
        <v>5</v>
      </c>
      <c r="J11" s="2">
        <f>IF(AND(P1=1,B9&gt;84,B9&lt;90,C11&gt;159,C11&lt;180,D13&gt;4.9,D13&lt;6,D15=3),AG3,IF(AND(P1=1,B9&gt;84,B9&lt;90,C11&gt;139,C11&lt;160,D13&gt;4.9,D13&lt;6,D15=3),AG4,IF(AND(P1=1,B9&gt;84,B9&lt;90,C11&gt;119,C11&lt;140,D13&gt;4.9,D13&lt;6,D15=3),AG5,IF(AND(P1=1,B9&gt;84,B9&lt;90,C11&gt;109,C11&lt;120,D13&gt;4.9,D13&lt;6,D15=3),AG6,IF(AND(P1=1,B9&gt;79,B9&lt;85,C11&gt;159,C11&lt;180,D13&gt;4.9,D13&lt;6,D15=3),AG7,IF(AND(P1=1,B9&gt;79,B9&lt;85,C11&gt;139,C11&lt;160,D13&gt;4.9,D13&lt;6,D15=3),AG8,IF(AND(P1=1,B9&gt;79,B9&lt;85,C11&gt;119,C11&lt;140,D13&gt;4.9,D13&lt;6,D15=3),AG9,IF(AND(P1=1,B9&gt;79,B9&lt;85,C11&gt;109,C11&lt;120,D13&gt;4.9,D13&lt;6,D15=3),AG10,IF(AND(P1=1,B9&gt;74,B9&lt;80,C11&gt;159,C11&lt;180,D13&gt;4.9,D13&lt;6,D15=3),AG11,IF(AND(P1=1,B9&gt;74,B9&lt;80,C11&gt;139,C11&lt;160,D13&gt;4.9,D13&lt;6,D15=3),AG12,IF(AND(P1=1,B9&gt;74,B9&lt;80,C11&gt;119,C11&lt;140,D13&gt;4.9,D13&lt;6,D15=3),AG13,IF(AND(P1=1,B9&gt;74,B9&lt;80,C11&gt;109,C11&lt;120,D13&gt;4.9,D13&lt;6,D15=3),AG14,IF(AND(P1=1,B9&gt;69,B9&lt;75,C11&gt;159,C11&lt;180,D13&gt;4.9,D13&lt;6,D15=3),AG15,IF(AND(P1=1,B9&gt;69,B9&lt;75,C11&gt;139,C11&lt;160,D13&gt;4.9,D13&lt;6,D15=3),AG16,IF(AND(P1=1,B9&gt;69,B9&lt;75,C11&gt;119,C11&lt;140,D13&gt;4.9,D13&lt;6,D15=3),AG17,IF(AND(P1=1,B9&gt;69,B9&lt;75,C11&gt;109,C11&lt;120,D13&gt;4.9,D13&lt;6,D15=3),AG18,IF(AND(P1=1,B9&gt;84,B9&lt;90,C11&gt;159,C11&lt;180,D13&gt;4.9,D13&lt;6,D15=2),AK3,IF(AND(P1=1,B9&gt;84,B9&lt;90,C11&gt;139,C11&lt;160,D13&gt;4.9,D13&lt;6,D15=2),AK4,IF(AND(P1=1,B9&gt;84,B9&lt;90,C11&gt;119,C11&lt;140,D13&gt;4.9,D13&lt;6,D15=2),AK5,IF(AND(P1=1,B9&gt;84,B9&lt;90,C11&gt;109,C11&lt;120,D13&gt;4.9,D13&lt;6,D15=2),AK6,IF(AND(P1=1,B9&gt;79,B9&lt;85,C11&gt;159,C11&lt;180,D13&gt;4.9,D13&lt;6,D15=2),AK7,IF(AND(P1=1,B9&gt;79,B9&lt;85,C11&gt;139,C11&lt;160,D13&gt;4.9,D13&lt;6,D15=2),AK8,IF(AND(P1=1,B9&gt;79,B9&lt;85,C11&gt;119,C11&lt;140,D13&gt;4.9,D13&lt;6,D15=2),AK9,IF(AND(P1=1,B9&gt;79,B9&lt;85,C11&gt;109,C11&lt;120,D13&gt;4.9,D13&lt;6,D15=2),AK10,IF(AND(P1=1,B9&gt;74,B9&lt;80,C11&gt;159,C11&lt;180,D13&gt;4.9,D13&lt;6,D15=2),AK11,IF(AND(P1=1,B9&gt;74,B9&lt;80,C11&gt;139,C11&lt;160,D13&gt;4.9,D13&lt;6,D15=2),AK12,IF(AND(P1=1,B9&gt;74,B9&lt;80,C11&gt;119,C11&lt;140,D13&gt;4.9,D13&lt;6,D15=2),AK13,IF(AND(P1=1,B9&gt;74,B9&lt;80,C11&gt;109,C11&lt;120,D13&gt;4.9,D13&lt;6,D15=2),AK14,IF(AND(P1=1,B9&gt;69,B9&lt;75,C11&gt;159,C11&lt;180,D13&gt;4.9,D13&lt;6,D15=2),AK15,IF(AND(P1=1,B9&gt;69,B9&lt;75,C11&gt;139,C11&lt;160,D13&gt;4.9,D13&lt;6,D15=2),AK16,IF(AND(P1=1,B9&gt;69,B9&lt;75,C11&gt;119,C11&lt;140,D13&gt;4.9,D13&lt;6,D15=2),AK17,IF(AND(P1=1,B9&gt;69,B9&lt;75,C11&gt;109,C11&lt;120,D13&gt;4.9,D13&lt;6,D15=2),AK18,P8))))))))))))))))))))))))))))))))</f>
        <v>0</v>
      </c>
      <c r="K11" s="1" t="str">
        <f>IF(J11&gt;0,P7,IF(J11=0,"",""))</f>
        <v/>
      </c>
      <c r="L11" s="6"/>
      <c r="M11" s="35" t="str">
        <f>IF(N11&gt;0,P6,IF(N11=0,"",""))</f>
        <v/>
      </c>
      <c r="N11" s="39">
        <f>IF(AND(P1=2,B9&gt;84,B9&lt;90,C11&gt;159,C11&lt;180,D13&gt;4.9,D13&lt;6,D15=3),V3,IF(AND(P1=2,B9&gt;84,B9&lt;90,C11&gt;139,C11&lt;160,D13&gt;4.9,D13&lt;6,D15=3),V4,IF(AND(P1=2,B9&gt;84,B9&lt;90,C11&gt;119,C11&lt;140,D13&gt;4.9,D13&lt;6,D15=3),V5,IF(AND(P1=2,B9&gt;84,B9&lt;90,C11&gt;109,C11&lt;120,D13&gt;4.9,D13&lt;6,D15=3),V6,IF(AND(P1=2,B9&gt;79,B9&lt;85,C11&gt;159,C11&lt;180,D13&gt;4.9,D13&lt;6,D15=3),V7,IF(AND(P1=2,B9&gt;79,B9&lt;85,C11&gt;139,C11&lt;160,D13&gt;4.9,D13&lt;6,D15=3),V8,IF(AND(P1=2,B9&gt;79,B9&lt;85,C11&gt;119,C11&lt;140,D13&gt;4.9,D13&lt;6,D15=3),V9,IF(AND(P1=2,B9&gt;79,B9&lt;85,C11&gt;109,C11&lt;120,D13&gt;4.9,D13&lt;6,D15=3),V10,IF(AND(P1=2,B9&gt;74,B9&lt;80,C11&gt;159,C11&lt;180,D13&gt;4.9,D13&lt;6,D15=3),V11,IF(AND(P1=2,B9&gt;74,B9&lt;80,C11&gt;139,C11&lt;160,D13&gt;4.9,D13&lt;6,D15=3),V12,IF(AND(P1=2,B9&gt;74,B9&lt;80,C11&gt;119,C11&lt;140,D13&gt;4.9,D13&lt;6,D15=3),V13,IF(AND(P1=2,B9&gt;74,B9&lt;80,C11&gt;109,C11&lt;120,D13&gt;4.9,D13&lt;6,D15=3),V14,IF(AND(P1=2,B9&gt;69,B9&lt;75,C11&gt;159,C11&lt;180,D13&gt;4.9,D13&lt;6,D15=3),V15,IF(AND(P1=2,B9&gt;69,B9&lt;75,C11&gt;139,C11&lt;160,D13&gt;4.9,D13&lt;6,D15=3),V16,IF(AND(P1=2,B9&gt;69,B9&lt;75,C11&gt;119,C11&lt;140,D13&gt;4.9,D13&lt;6,D15=3),V17,IF(AND(P1=2,B9&gt;69,B9&lt;75,C11&gt;109,C11&lt;120,D13&gt;4.9,D13&lt;6,D15=3),V18,IF(AND(P1=2,B9&gt;84,B9&lt;90,C11&gt;159,C11&lt;180,D13&gt;4.9,D13&lt;6,D15=2),Z3,IF(AND(P1=2,B9&gt;84,B9&lt;90,C11&gt;139,C11&lt;160,D13&gt;4.9,D13&lt;6,D15=2),Z4,IF(AND(P1=2,B9&gt;84,B9&lt;90,C11&gt;119,C11&lt;140,D13&gt;4.9,D13&lt;6,D15=2),Z5,IF(AND(P1=2,B9&gt;84,B9&lt;90,C11&gt;109,C11&lt;120,D13&gt;4.9,D13&lt;6,D15=2),Z6,IF(AND(P1=2,B9&gt;79,B9&lt;85,C11&gt;159,C11&lt;180,D13&gt;4.9,D13&lt;6,D15=2),Z7,IF(AND(P1=2,B9&gt;79,B9&lt;85,C11&gt;139,C11&lt;160,D13&gt;4.9,D13&lt;6,D15=2),Z8,IF(AND(P1=2,B9&gt;79,B9&lt;85,C11&gt;119,C11&lt;140,D13&gt;4.9,D13&lt;6,D15=2),Z9,IF(AND(P1=2,B9&gt;79,B9&lt;85,C11&gt;109,C11&lt;120,D13&gt;4.9,D13&lt;6,D15=2),Z10,IF(AND(P1=2,B9&gt;74,B9&lt;80,C11&gt;159,C11&lt;180,D13&gt;4.9,D13&lt;6,D15=2),Z11,IF(AND(P1=2,B9&gt;74,B9&lt;80,C11&gt;139,C11&lt;160,D13&gt;4.9,D13&lt;6,D15=2),Z12,IF(AND(P1=2,B9&gt;74,B9&lt;80,C11&gt;119,C11&lt;140,D13&gt;4.9,D13&lt;6,D15=2),Z13,IF(AND(P1=2,B9&gt;74,B9&lt;80,C11&gt;109,C11&lt;120,D13&gt;4.9,D13&lt;6,D15=2),Z14,IF(AND(P1=2,B9&gt;69,B9&lt;75,C11&gt;159,C11&lt;180,D13&gt;4.9,D13&lt;6,D15=2),Z15,IF(AND(P1=2,B9&gt;69,B9&lt;75,C11&gt;139,C11&lt;160,D13&gt;4.9,D13&lt;6,D15=2),Z16,IF(AND(P1=2,B9&gt;69,B9&lt;75,C11&gt;119,C11&lt;140,D13&gt;4.9,D13&lt;6,D15=2),Z17,IF(AND(P1=2,B9&gt;69,B9&lt;75,C11&gt;109,C11&lt;120,D13&gt;4.9,D13&lt;6,D15=2),Z18,P8))))))))))))))))))))))))))))))))</f>
        <v>0</v>
      </c>
      <c r="O11" s="14"/>
      <c r="R11" s="236" t="s">
        <v>95</v>
      </c>
      <c r="S11" s="21" t="s">
        <v>87</v>
      </c>
      <c r="T11" s="22">
        <v>44</v>
      </c>
      <c r="U11" s="23">
        <v>46</v>
      </c>
      <c r="V11" s="23">
        <v>47</v>
      </c>
      <c r="W11" s="24">
        <v>48</v>
      </c>
      <c r="X11" s="22">
        <v>53</v>
      </c>
      <c r="Y11" s="23">
        <v>55</v>
      </c>
      <c r="Z11" s="23">
        <v>56</v>
      </c>
      <c r="AA11" s="24">
        <v>58</v>
      </c>
      <c r="AC11" s="236" t="s">
        <v>95</v>
      </c>
      <c r="AD11" s="21" t="s">
        <v>87</v>
      </c>
      <c r="AE11" s="22">
        <v>40</v>
      </c>
      <c r="AF11" s="23">
        <v>42</v>
      </c>
      <c r="AG11" s="23">
        <v>45</v>
      </c>
      <c r="AH11" s="24">
        <v>48</v>
      </c>
      <c r="AI11" s="22">
        <v>45</v>
      </c>
      <c r="AJ11" s="23">
        <v>48</v>
      </c>
      <c r="AK11" s="23">
        <v>51</v>
      </c>
      <c r="AL11" s="24">
        <v>54</v>
      </c>
    </row>
    <row r="12" spans="1:38" x14ac:dyDescent="0.35">
      <c r="L12" s="6"/>
      <c r="O12" s="14"/>
      <c r="R12" s="237"/>
      <c r="S12" s="25" t="s">
        <v>89</v>
      </c>
      <c r="T12" s="26">
        <v>41</v>
      </c>
      <c r="U12" s="27">
        <v>42</v>
      </c>
      <c r="V12" s="27">
        <v>43</v>
      </c>
      <c r="W12" s="28">
        <v>45</v>
      </c>
      <c r="X12" s="26">
        <v>49</v>
      </c>
      <c r="Y12" s="27">
        <v>51</v>
      </c>
      <c r="Z12" s="27">
        <v>52</v>
      </c>
      <c r="AA12" s="28">
        <v>53</v>
      </c>
      <c r="AC12" s="237"/>
      <c r="AD12" s="25" t="s">
        <v>89</v>
      </c>
      <c r="AE12" s="26">
        <v>37</v>
      </c>
      <c r="AF12" s="27">
        <v>39</v>
      </c>
      <c r="AG12" s="27">
        <v>42</v>
      </c>
      <c r="AH12" s="28">
        <v>44</v>
      </c>
      <c r="AI12" s="26">
        <v>42</v>
      </c>
      <c r="AJ12" s="27">
        <v>44</v>
      </c>
      <c r="AK12" s="27">
        <v>47</v>
      </c>
      <c r="AL12" s="28">
        <v>50</v>
      </c>
    </row>
    <row r="13" spans="1:38" x14ac:dyDescent="0.35">
      <c r="A13" s="239" t="s">
        <v>96</v>
      </c>
      <c r="B13" s="239"/>
      <c r="C13" s="239"/>
      <c r="D13" s="69">
        <f>Anamnesis!G10</f>
        <v>0</v>
      </c>
      <c r="E13" s="2" t="s">
        <v>7</v>
      </c>
      <c r="J13" s="2">
        <f>IF(AND(P1=1,B9&gt;84,B9&lt;90,C11&gt;159,C11&lt;180,D13&gt;5.9,D13&lt;7,D15=3),AH3,IF(AND(P1=1,B9&gt;84,B9&lt;90,C11&gt;139,C11&lt;160,D13&gt;5.9,D13&lt;7,D15=3),AH4,IF(AND(P1=1,B9&gt;84,B9&lt;90,C11&gt;119,C11&lt;140,D13&gt;5.9,D13&lt;7,D15=3),AH5,IF(AND(P1=1,B9&gt;84,B9&lt;90,C11&gt;109,C11&lt;120,D13&gt;5.9,D13&lt;7,D15=3),AH6,IF(AND(P1=1,B9&gt;79,B9&lt;85,C11&gt;159,C11&lt;180,D13&gt;5.9,D13&lt;7,D15=3),AH7,IF(AND(P1=1,B9&gt;79,B9&lt;85,C11&gt;139,C11&lt;160,D13&gt;5.9,D13&lt;7,D15=3),AH8,IF(AND(P1=1,B9&gt;79,B9&lt;85,C11&gt;119,C11&lt;140,D13&gt;5.9,D13&lt;7,D15=3),AH9,IF(AND(P1=1,B9&gt;79,B9&lt;85,C11&gt;109,C11&lt;120,D13&gt;5.9,D13&lt;7,D15=3),AH10,IF(AND(P1=1,B9&gt;74,B9&lt;80,C11&gt;159,C11&lt;180,D13&gt;5.9,D13&lt;7,D15=3),AH11,IF(AND(P1=1,B9&gt;74,B9&lt;80,C11&gt;139,C11&lt;160,D13&gt;5.9,D13&lt;7,D15=3),AH12,IF(AND(P1=1,B9&gt;74,B9&lt;80,C11&gt;119,C11&lt;140,D13&gt;5.9,D13&lt;7,D15=3),AH13,IF(AND(P1=1,B9&gt;74,B9&lt;80,C11&gt;109,C11&lt;120,D13&gt;5.9,D13&lt;7,D15=3),AH14,IF(AND(P1=1,B9&gt;69,B9&lt;75,C11&gt;159,C11&lt;180,D13&gt;5.9,D13&lt;7,D15=3),AH15,IF(AND(P1=1,B9&gt;69,B9&lt;75,C11&gt;139,C11&lt;160,D13&gt;5.9,D13&lt;7,D15=3),AH16,IF(AND(P1=1,B9&gt;69,B9&lt;75,C11&gt;119,C11&lt;140,D13&gt;5.9,D13&lt;7,D15=3),AH17,IF(AND(P1=1,B9&gt;69,B9&lt;75,C11&gt;109,C11&lt;120,D13&gt;5.9,D13&lt;7,D15=3),AH18,IF(AND(P1=1,B9&gt;84,B9&lt;90,C11&gt;159,C11&lt;180,D13&gt;5.9,D13&lt;7,D15=2),AL3,IF(AND(P1=1,B9&gt;84,B9&lt;90,C11&gt;139,C11&lt;160,D13&gt;5.9,D13&lt;7,D15=2),AL4,IF(AND(P1=1,B9&gt;84,B9&lt;90,C11&gt;119,C11&lt;140,D13&gt;5.9,D13&lt;7,D15=2),AL5,IF(AND(P1=1,B9&gt;84,B9&lt;90,C11&gt;109,C11&lt;120,D13&gt;5.9,D13&lt;7,D15=2),AL6,IF(AND(P1=1,B9&gt;79,B9&lt;85,C11&gt;159,C11&lt;180,D13&gt;5.9,D13&lt;7,D15=2),AL7,IF(AND(P1=1,B9&gt;79,B9&lt;85,C11&gt;139,C11&lt;160,D13&gt;5.9,D13&lt;7,D15=2),AL8,IF(AND(P1=1,B9&gt;79,B9&lt;85,C11&gt;119,C11&lt;140,D13&gt;5.9,D13&lt;7,D15=2),AL9,IF(AND(P1=1,B9&gt;79,B9&lt;85,C11&gt;109,C11&lt;120,D13&gt;5.9,D13&lt;7,D15=2),AL10,IF(AND(P1=1,B9&gt;74,B9&lt;80,C11&gt;159,C11&lt;180,D13&gt;5.9,D13&lt;7,D15=2),AL11,IF(AND(P1=1,B9&gt;74,B9&lt;80,C11&gt;139,C11&lt;160,D13&gt;5.9,D13&lt;7,D15=2),AL12,IF(AND(P1=1,B9&gt;74,B9&lt;80,C11&gt;119,C11&lt;140,D13&gt;5.9,D13&lt;7,D15=2),AL13,IF(AND(P1=1,B9&gt;74,B9&lt;80,C11&gt;109,C11&lt;120,D13&gt;5.9,D13&lt;7,D15=2),AL14,IF(AND(P1=1,B9&gt;69,B9&lt;75,C11&gt;159,C11&lt;180,D13&gt;5.9,D13&lt;7,D15=2),AL15,IF(AND(P1=1,B9&gt;69,B9&lt;75,C11&gt;139,C11&lt;160,D13&gt;5.9,D13&lt;7,D15=2),AL16,IF(AND(P1=1,B9&gt;69,B9&lt;75,C11&gt;119,C11&lt;140,D13&gt;5.9,D13&lt;7,D15=2),AL17,IF(AND(P1=1,B9&gt;69,B9&lt;75,C11&gt;109,C11&lt;120,D13&gt;5.9,D13&lt;7,D15=2),AL18,P8))))))))))))))))))))))))))))))))</f>
        <v>0</v>
      </c>
      <c r="K13" s="1" t="str">
        <f>IF(J13&gt;0,P7,IF(J13=0,"",""))</f>
        <v/>
      </c>
      <c r="L13" s="6"/>
      <c r="M13" s="35" t="str">
        <f>IF(N13&gt;0,P6,IF(N13=0,"",""))</f>
        <v/>
      </c>
      <c r="N13" s="2">
        <f>IF(AND(P1=2,B9&gt;84,B9&lt;90,C11&gt;159,C11&lt;180,D13&gt;5.9,D13&lt;7,D15=3),W3,IF(AND(P1=2,B9&gt;84,B9&lt;90,C11&gt;139,C11&lt;160,D13&gt;5.9,D13&lt;7,D15=3),W4,IF(AND(P1=2,B9&gt;84,B9&lt;90,C11&gt;119,C11&lt;140,D13&gt;5.9,D13&lt;7,D15=3),W5,IF(AND(P1=2,B9&gt;84,B9&lt;90,C11&gt;109,C11&lt;120,D13&gt;5.9,D13&lt;7,D15=3),W6,IF(AND(P1=2,B9&gt;79,B9&lt;85,C11&gt;159,C11&lt;180,D13&gt;5.9,D13&lt;7,D15=3),W7,IF(AND(P1=2,B9&gt;79,B9&lt;85,C11&gt;139,C11&lt;160,D13&gt;5.9,D13&lt;7,D15=3),W8,IF(AND(P1=2,B9&gt;79,B9&lt;85,C11&gt;119,C11&lt;140,D13&gt;5.9,D13&lt;7,D15=3),W9,IF(AND(P1=2,B9&gt;79,B9&lt;85,C11&gt;109,C11&lt;120,D13&gt;5.9,D13&lt;7,D15=3),W10,IF(AND(P1=2,B9&gt;74,B9&lt;80,C11&gt;159,C11&lt;180,D13&gt;5.9,D13&lt;7,D15=3),W11,IF(AND(P1=2,B9&gt;74,B9&lt;80,C11&gt;139,C11&lt;160,D13&gt;5.9,D13&lt;7,D15=3),W12,IF(AND(P1=2,B9&gt;74,B9&lt;80,C11&gt;119,C11&lt;140,D13&gt;5.9,D13&lt;7,D15=3),W13,IF(AND(P1=2,B9&gt;74,B9&lt;80,C11&gt;109,C11&lt;120,D13&gt;5.9,D13&lt;7,D15=3),W14,IF(AND(P1=2,B9&gt;69,B9&lt;75,C11&gt;159,C11&lt;180,D13&gt;5.9,D13&lt;7,D15=3),W15,IF(AND(P1=2,B9&gt;69,B9&lt;75,C11&gt;139,C11&lt;160,D13&gt;5.9,D13&lt;7,D15=3),W16,IF(AND(P1=2,B9&gt;69,B9&lt;75,C11&gt;119,C11&lt;140,D13&gt;5.9,D13&lt;7,D15=3),W17,IF(AND(P1=2,B9&gt;69,B9&lt;75,C11&gt;109,C11&lt;120,D13&gt;5.9,D13&lt;7,D15=3),W18,IF(AND(P1=2,B9&gt;84,B9&lt;90,C11&gt;159,C11&lt;180,D13&gt;5.9,D13&lt;7,D15=2),AA3,IF(AND(P1=2,B9&gt;84,B9&lt;90,C11&gt;139,C11&lt;160,D13&gt;5.9,D13&lt;7,D15=2),AA4,IF(AND(P1=2,B9&gt;84,B9&lt;90,C11&gt;119,C11&lt;140,D13&gt;5.9,D13&lt;7,D15=2),AA5,IF(AND(P1=2,B9&gt;84,B9&lt;90,C11&gt;109,C11&lt;120,D13&gt;5.9,D13&lt;7,D15=2),AA6,IF(AND(P1=2,B9&gt;79,B9&lt;85,C11&gt;159,C11&lt;180,D13&gt;5.9,D13&lt;7,D15=2),AA7,IF(AND(P1=2,B9&gt;79,B9&lt;85,C11&gt;139,C11&lt;160,D13&gt;5.9,D13&lt;7,D15=2),AA8,IF(AND(P1=2,B9&gt;79,B9&lt;85,C11&gt;119,C11&lt;140,D13&gt;5.9,D13&lt;7,D15=2),AA9,IF(AND(P1=2,B9&gt;79,B9&lt;85,C11&gt;109,C11&lt;120,D13&gt;5.9,D13&lt;7,D15=2),AA10,IF(AND(P1=2,B9&gt;74,B9&lt;80,C11&gt;159,C11&lt;180,D13&gt;5.9,D13&lt;7,D15=2),AA11,IF(AND(P1=2,B9&gt;74,B9&lt;80,C11&gt;139,C11&lt;160,D13&gt;5.9,D13&lt;7,D15=2),AA12,IF(AND(P1=2,B9&gt;74,B9&lt;80,C11&gt;119,C11&lt;140,D13&gt;5.9,D13&lt;7,D15=2),AA13,IF(AND(P1=2,B9&gt;74,B9&lt;80,C11&gt;109,C11&lt;120,D13&gt;5.9,D13&lt;7,D15=2),AA14,IF(AND(P1=2,B9&gt;69,B9&lt;75,C11&gt;159,C11&lt;180,D13&gt;5.9,D13&lt;7,D15=2),AA15,IF(AND(P1=2,B9&gt;69,B9&lt;75,C11&gt;139,C11&lt;160,D13&gt;5.9,D13&lt;7,D15=2),AA16,IF(AND(P1=2,B9&gt;69,B9&lt;75,C11&gt;119,C11&lt;140,D13&gt;5.9,D13&lt;7,D15=2),AA17,IF(AND(P1=2,B9&gt;69,B9&lt;75,C11&gt;109,C11&lt;120,D13&gt;5.9,D13&lt;7,D15=2),AA18,P8))))))))))))))))))))))))))))))))</f>
        <v>0</v>
      </c>
      <c r="O13" s="14"/>
      <c r="R13" s="237"/>
      <c r="S13" s="25" t="s">
        <v>90</v>
      </c>
      <c r="T13" s="26">
        <v>37</v>
      </c>
      <c r="U13" s="27">
        <v>39</v>
      </c>
      <c r="V13" s="27">
        <v>40</v>
      </c>
      <c r="W13" s="28">
        <v>41</v>
      </c>
      <c r="X13" s="26">
        <v>46</v>
      </c>
      <c r="Y13" s="27">
        <v>47</v>
      </c>
      <c r="Z13" s="27">
        <v>48</v>
      </c>
      <c r="AA13" s="28">
        <v>49</v>
      </c>
      <c r="AC13" s="237"/>
      <c r="AD13" s="25" t="s">
        <v>90</v>
      </c>
      <c r="AE13" s="26">
        <v>34</v>
      </c>
      <c r="AF13" s="27">
        <v>36</v>
      </c>
      <c r="AG13" s="27">
        <v>39</v>
      </c>
      <c r="AH13" s="28">
        <v>41</v>
      </c>
      <c r="AI13" s="26">
        <v>39</v>
      </c>
      <c r="AJ13" s="27">
        <v>41</v>
      </c>
      <c r="AK13" s="27">
        <v>44</v>
      </c>
      <c r="AL13" s="28">
        <v>47</v>
      </c>
    </row>
    <row r="14" spans="1:38" ht="15" thickBot="1" x14ac:dyDescent="0.4">
      <c r="D14" s="4"/>
      <c r="L14" s="6"/>
      <c r="O14" s="14"/>
      <c r="R14" s="238"/>
      <c r="S14" s="30" t="s">
        <v>92</v>
      </c>
      <c r="T14" s="31">
        <v>34</v>
      </c>
      <c r="U14" s="32">
        <v>35</v>
      </c>
      <c r="V14" s="32">
        <v>36</v>
      </c>
      <c r="W14" s="33">
        <v>37</v>
      </c>
      <c r="X14" s="31">
        <v>42</v>
      </c>
      <c r="Y14" s="32">
        <v>43</v>
      </c>
      <c r="Z14" s="32">
        <v>44</v>
      </c>
      <c r="AA14" s="33">
        <v>46</v>
      </c>
      <c r="AC14" s="238"/>
      <c r="AD14" s="30" t="s">
        <v>92</v>
      </c>
      <c r="AE14" s="31">
        <v>31</v>
      </c>
      <c r="AF14" s="32">
        <v>33</v>
      </c>
      <c r="AG14" s="32">
        <v>36</v>
      </c>
      <c r="AH14" s="33">
        <v>38</v>
      </c>
      <c r="AI14" s="31">
        <v>36</v>
      </c>
      <c r="AJ14" s="32">
        <v>38</v>
      </c>
      <c r="AK14" s="32">
        <v>41</v>
      </c>
      <c r="AL14" s="33">
        <v>43</v>
      </c>
    </row>
    <row r="15" spans="1:38" x14ac:dyDescent="0.35">
      <c r="A15" s="239" t="s">
        <v>97</v>
      </c>
      <c r="B15" s="239"/>
      <c r="C15" s="239"/>
      <c r="D15" s="70">
        <f>Anamnesis!C12</f>
        <v>1</v>
      </c>
      <c r="L15" s="6"/>
      <c r="R15" s="233" t="s">
        <v>98</v>
      </c>
      <c r="S15" s="36" t="s">
        <v>87</v>
      </c>
      <c r="T15" s="22">
        <v>37</v>
      </c>
      <c r="U15" s="23">
        <v>38</v>
      </c>
      <c r="V15" s="23">
        <v>39</v>
      </c>
      <c r="W15" s="24">
        <v>41</v>
      </c>
      <c r="X15" s="22">
        <v>48</v>
      </c>
      <c r="Y15" s="23">
        <v>49</v>
      </c>
      <c r="Z15" s="23">
        <v>51</v>
      </c>
      <c r="AA15" s="24">
        <v>52</v>
      </c>
      <c r="AC15" s="233" t="s">
        <v>98</v>
      </c>
      <c r="AD15" s="36" t="s">
        <v>87</v>
      </c>
      <c r="AE15" s="22">
        <v>35</v>
      </c>
      <c r="AF15" s="23">
        <v>37</v>
      </c>
      <c r="AG15" s="23">
        <v>39</v>
      </c>
      <c r="AH15" s="24">
        <v>40</v>
      </c>
      <c r="AI15" s="22">
        <v>43</v>
      </c>
      <c r="AJ15" s="23">
        <v>45</v>
      </c>
      <c r="AK15" s="23">
        <v>47</v>
      </c>
      <c r="AL15" s="24">
        <v>49</v>
      </c>
    </row>
    <row r="16" spans="1:38" x14ac:dyDescent="0.35">
      <c r="L16" s="6"/>
      <c r="R16" s="234"/>
      <c r="S16" s="37" t="s">
        <v>89</v>
      </c>
      <c r="T16" s="26">
        <v>33</v>
      </c>
      <c r="U16" s="27">
        <v>34</v>
      </c>
      <c r="V16" s="27">
        <v>35</v>
      </c>
      <c r="W16" s="28">
        <v>36</v>
      </c>
      <c r="X16" s="26">
        <v>43</v>
      </c>
      <c r="Y16" s="27">
        <v>44</v>
      </c>
      <c r="Z16" s="27">
        <v>46</v>
      </c>
      <c r="AA16" s="28">
        <v>47</v>
      </c>
      <c r="AC16" s="234"/>
      <c r="AD16" s="37" t="s">
        <v>89</v>
      </c>
      <c r="AE16" s="26">
        <v>32</v>
      </c>
      <c r="AF16" s="27">
        <v>33</v>
      </c>
      <c r="AG16" s="27">
        <v>35</v>
      </c>
      <c r="AH16" s="28">
        <v>36</v>
      </c>
      <c r="AI16" s="26">
        <v>39</v>
      </c>
      <c r="AJ16" s="27">
        <v>41</v>
      </c>
      <c r="AK16" s="27">
        <v>42</v>
      </c>
      <c r="AL16" s="28">
        <v>44</v>
      </c>
    </row>
    <row r="17" spans="1:38" x14ac:dyDescent="0.35">
      <c r="H17" s="2"/>
      <c r="L17" s="34"/>
      <c r="R17" s="234"/>
      <c r="S17" s="37" t="s">
        <v>90</v>
      </c>
      <c r="T17" s="26">
        <v>29</v>
      </c>
      <c r="U17" s="27">
        <v>30</v>
      </c>
      <c r="V17" s="27">
        <v>31</v>
      </c>
      <c r="W17" s="28">
        <v>32</v>
      </c>
      <c r="X17" s="26">
        <v>39</v>
      </c>
      <c r="Y17" s="27">
        <v>40</v>
      </c>
      <c r="Z17" s="27">
        <v>41</v>
      </c>
      <c r="AA17" s="28">
        <v>43</v>
      </c>
      <c r="AC17" s="234"/>
      <c r="AD17" s="37" t="s">
        <v>90</v>
      </c>
      <c r="AE17" s="26">
        <v>28</v>
      </c>
      <c r="AF17" s="27">
        <v>30</v>
      </c>
      <c r="AG17" s="27">
        <v>31</v>
      </c>
      <c r="AH17" s="28">
        <v>33</v>
      </c>
      <c r="AI17" s="26">
        <v>35</v>
      </c>
      <c r="AJ17" s="27">
        <v>36</v>
      </c>
      <c r="AK17" s="27">
        <v>38</v>
      </c>
      <c r="AL17" s="28">
        <v>40</v>
      </c>
    </row>
    <row r="18" spans="1:38" ht="15" thickBot="1" x14ac:dyDescent="0.4">
      <c r="A18" s="241" t="str">
        <f>IF(AND(B9&gt;0,C11&gt;0,D13&gt;0,D15&gt;1),"რეკომენდაცია","")</f>
        <v/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6"/>
      <c r="R18" s="235"/>
      <c r="S18" s="38" t="s">
        <v>92</v>
      </c>
      <c r="T18" s="31">
        <v>26</v>
      </c>
      <c r="U18" s="32">
        <v>27</v>
      </c>
      <c r="V18" s="32">
        <v>28</v>
      </c>
      <c r="W18" s="33">
        <v>29</v>
      </c>
      <c r="X18" s="31">
        <v>34</v>
      </c>
      <c r="Y18" s="32">
        <v>36</v>
      </c>
      <c r="Z18" s="32">
        <v>37</v>
      </c>
      <c r="AA18" s="33">
        <v>38</v>
      </c>
      <c r="AC18" s="235"/>
      <c r="AD18" s="38" t="s">
        <v>92</v>
      </c>
      <c r="AE18" s="31">
        <v>25</v>
      </c>
      <c r="AF18" s="32">
        <v>26</v>
      </c>
      <c r="AG18" s="32">
        <v>28</v>
      </c>
      <c r="AH18" s="33">
        <v>29</v>
      </c>
      <c r="AI18" s="31">
        <v>31</v>
      </c>
      <c r="AJ18" s="32">
        <v>33</v>
      </c>
      <c r="AK18" s="32">
        <v>36</v>
      </c>
      <c r="AL18" s="33">
        <v>36</v>
      </c>
    </row>
    <row r="19" spans="1:38" ht="15" thickBot="1" x14ac:dyDescent="0.4">
      <c r="L19" s="6"/>
      <c r="T19" s="2"/>
      <c r="AE19" s="39"/>
      <c r="AF19" s="40"/>
      <c r="AG19" s="40"/>
      <c r="AH19" s="40"/>
      <c r="AI19" s="40"/>
      <c r="AJ19" s="40"/>
      <c r="AK19" s="40"/>
      <c r="AL19" s="40"/>
    </row>
    <row r="20" spans="1:38" x14ac:dyDescent="0.35">
      <c r="A20" s="242" t="str">
        <f>IF(AND(B9&gt;0,C11&gt;0,D13&gt;0,D15&gt;1),"პირველი ეტაპი","")</f>
        <v/>
      </c>
      <c r="B20" s="242"/>
      <c r="J20" s="2">
        <f>IF(AND(P1=1,B9&gt;64,B9&lt;70,C11&gt;159,C11&lt;180,D13&gt;2.9,D13&lt;4,D15=3),AE20,IF(AND(P1=1,B9&gt;64,B9&lt;70,C11&gt;139,C11&lt;160,D13&gt;2.9,D13&lt;4,D15=3),AE21,IF(AND(P1=1,B9&gt;64,B9&lt;70,C11&gt;119,C11&lt;140,D13&gt;2.9,D13&lt;4,D15=3),AE22,IF(AND(P1=1,B9&gt;64,B9&lt;70,C11&gt;109,C11&lt;120,D13&gt;2.9,D13&lt;4,D15=3),AE23,IF(AND(P1=1,B9&gt;59,B9&lt;65,C11&gt;159,C11&lt;180,D13&gt;2.9,D13&lt;4,D15=3),AE24,IF(AND(P1=1,B9&gt;59,B9&lt;65,C11&gt;139,C11&lt;160,D13&gt;2.9,D13&lt;4,D15=3),AE25,IF(AND(P1=1,B9&gt;59,B9&lt;65,C11&gt;119,C11&lt;140,D13&gt;2.9,D13&lt;4,D15=3),AE26,IF(AND(P1=1,B9&gt;59,B9&lt;65,C11&gt;109,C11&lt;120,D13&gt;2.9,D13&lt;4,D15=3),AE27,IF(AND(P1=1,B9&gt;54,B9&lt;60,C11&gt;159,C11&lt;180,D13&gt;2.9,D13&lt;4,D15=3),AE28,IF(AND(P1=1,B9&gt;54,B9&lt;60,C11&gt;139,C11&lt;160,D13&gt;2.9,D13&lt;4,D15=3),AE29,IF(AND(P1=1,B9&gt;54,B9&lt;60,C11&gt;119,C11&lt;140,D13&gt;2.9,D13&lt;4,D15=3),AE30,IF(AND(P1=1,B9&gt;54,B9&lt;60,C11&gt;109,C11&lt;120,D13&gt;2.9,D13&lt;4,D15=3),AE31,IF(AND(P1=1,B9&gt;49,B9&lt;55,C11&gt;159,C11&lt;180,D13&gt;2.9,D13&lt;4,D15=3),AE32,IF(AND(P1=1,B9&gt;49,B9&lt;55,C11&gt;139,C11&lt;160,D13&gt;2.9,D13&lt;4,D15=3),AE33,IF(AND(P1=1,B9&gt;49,B9&lt;55,C11&gt;119,C11&lt;140,D13&gt;2.9,D13&lt;4,D15=3),AE34,IF(AND(P1=1,B9&gt;49,B9&lt;55,C11&gt;109,C11&lt;120,D13&gt;2.9,D13&lt;4,D15=3),AE35,IF(AND(P1=1,B9&gt;44,B9&lt;50,C11&gt;159,C11&lt;180,D13&gt;2.9,D13&lt;4,D15=3),AE36,IF(AND(P1=1,B9&gt;44,B9&lt;50,C11&gt;139,C11&lt;160,D13&gt;2.9,D13&lt;4,D15=3),AE37,IF(AND(P1=1,B9&gt;44,B9&lt;50,C11&gt;119,C11&lt;140,D13&gt;2.9,D13&lt;4,D15=3),AE38,IF(AND(P1=1,B9&gt;44,B9&lt;50,C11&gt;109,C11&lt;120,D13&gt;2.9,D13&lt;4,D15=3),AE39,IF(AND(P1=1,B9&gt;39,B9&lt;45,C11&gt;159,C11&lt;180,D13&gt;2.9,D13&lt;4,D15=3),AE40,IF(AND(P1=1,B9&gt;39,B9&lt;45,C11&gt;139,C11&lt;160,D13&gt;2.9,D13&lt;4,D15=3),AE41,IF(AND(P1=1,B9&gt;39,B9&lt;45,C11&gt;119,C11&lt;140,D13&gt;2.9,D13&lt;4,D15=3),AE42,IF(AND(P1=1,B9&gt;39,B9&lt;45,C11&gt;109,C11&lt;120,D13&gt;2.9,D13&lt;4,D15=3),AE43,IF(AND(P1=1,B9&gt;64,B9&lt;70,C11&gt;159,C11&lt;180,D13&gt;2.9,D13&lt;4,D15=2),AI20,IF(AND(P1=1,B9&gt;64,B9&lt;70,C11&gt;139,C11&lt;160,D13&gt;2.9,D13&lt;4,D15=2),AI21,IF(AND(P1=1,B9&gt;64,B9&lt;70,C11&gt;119,C11&lt;140,D13&gt;2.9,D13&lt;4,D15=2),AI22,IF(AND(P1=1,B9&gt;64,B9&lt;70,C11&gt;109,C11&lt;120,D13&gt;2.9,D13&lt;4,D15=2),AI23,IF(AND(P1=1,B9&gt;59,B9&lt;65,C11&gt;159,C11&lt;180,D13&gt;2.9,D13&lt;4,D15=2),AI24,IF(AND(P1=1,B9&gt;59,B9&lt;65,C11&gt;139,C11&lt;160,D13&gt;2.9,D13&lt;4,D15=2),AI25,IF(AND(P1=1,B9&gt;59,B9&lt;65,C11&gt;119,C11&lt;140,D13&gt;2.9,D13&lt;4,D15=2),AI26,IF(AND(P1=1,B9&gt;59,B9&lt;65,C11&gt;109,C11&lt;120,D13&gt;2.9,D13&lt;4,D15=2),AI27,IF(AND(P1=1,B9&gt;54,B9&lt;60,C11&gt;159,C11&lt;180,D13&gt;2.9,D13&lt;4,D15=2),AI28,IF(AND(P1=1,B9&gt;54,B9&lt;60,C11&gt;139,C11&lt;160,D13&gt;2.9,D13&lt;4,D15=2),AI29,IF(AND(P1=1,B9&gt;54,B9&lt;60,C11&gt;119,C11&lt;140,D13&gt;2.9,D13&lt;4,D15=2),AI30,IF(AND(P1=1,B9&gt;54,B9&lt;60,C11&gt;109,C11&lt;120,D13&gt;2.9,D13&lt;4,D15=2),AI31,IF(AND(P1=1,B9&gt;49,B9&lt;55,C11&gt;159,C11&lt;180,D13&gt;2.9,D13&lt;4,D15=2),AI32,IF(AND(P1=1,B9&gt;49,B9&lt;55,C11&gt;139,C11&lt;160,D13&gt;2.9,D13&lt;4,D15=2),AI33,IF(AND(P1=1,B9&gt;49,B9&lt;55,C11&gt;119,C11&lt;140,D13&gt;2.9,D13&lt;4,D15=2),AI34,IF(AND(P1=1,B9&gt;49,B9&lt;55,C11&gt;109,C11&lt;120,D13&gt;2.9,D13&lt;4,D15=2),AI35,IF(AND(P1=1,B9&gt;44,B9&lt;50,C11&gt;159,C11&lt;180,D13&gt;2.9,D13&lt;4,D15=2),AI36,IF(AND(P1=1,B9&gt;44,B9&lt;50,C11&gt;139,C11&lt;160,D13&gt;2.9,D13&lt;4,D15=2),AI37,IF(AND(P1=1,B9&gt;44,B9&lt;50,C11&gt;119,C11&lt;140,D13&gt;2.9,D13&lt;4,D15=2),AI38,IF(AND(P1=1,B9&gt;44,B9&lt;50,C11&gt;109,C11&lt;120,D13&gt;2.9,D13&lt;4,D15=2),AI39,IF(AND(P1=1,B9&gt;39,B9&lt;45,C11&gt;159,C11&lt;180,D13&gt;2.9,D13&lt;4,D15=2),AI40,IF(AND(P1=1,B9&gt;39,B9&lt;45,C11&gt;139,C11&lt;160,D13&gt;2.9,D13&lt;4,D15=2),AI41,IF(AND(P1=1,B9&gt;39,B9&lt;45,C11&gt;119,C11&lt;140,D13&gt;2.9,D13&lt;4,D15=2),AI42,IF(AND(P1=1,B9&gt;39,B9&lt;45,C11&gt;109,C11&lt;120,D13&gt;2.9,D13&lt;4,D15=2),AI43,P8))))))))))))))))))))))))))))))))))))))))))))))))</f>
        <v>0</v>
      </c>
      <c r="K20" s="14" t="str">
        <f>IF(J20&gt;0,P7,IF(J20=0,"",""))</f>
        <v/>
      </c>
      <c r="L20" s="6"/>
      <c r="M20" s="35" t="str">
        <f>IF(N20&gt;0,P6,IF(N20="","",""))</f>
        <v/>
      </c>
      <c r="N20" s="2">
        <f>IF(AND(P1=2,B9&gt;64,B9&lt;70,C11&gt;159,C11&lt;180,D13&gt;2.9,D13&lt;4,D15=3),T20,IF(AND(P1=2,B9&gt;64,B9&lt;70,C11&gt;139,C11&lt;160,D13&gt;2.9,D13&lt;4,D15=3),T21,IF(AND(P1=2,B9&gt;64,B9&lt;70,C11&gt;119,C11&lt;140,D13&gt;2.9,D13&lt;4,D15=3),T22,IF(AND(P1=2,B9&gt;64,B9&lt;70,C11&gt;109,C11&lt;120,D13&gt;2.9,D13&lt;4,D15=3),T23,IF(AND(P1=2,B9&gt;59,B9&lt;65,C11&gt;159,C11&lt;180,D13&gt;2.9,D13&lt;4,D15=3),T24,IF(AND(P1=2,B9&gt;59,B9&lt;65,C11&gt;139,C11&lt;160,D13&gt;2.9,D13&lt;4,D15=3),T25,IF(AND(P1=2,B9&gt;59,B9&lt;65,C11&gt;119,C11&lt;140,D13&gt;2.9,D13&lt;4,D15=3),T26,IF(AND(P1=2,B9&gt;59,B9&lt;65,C11&gt;109,C11&lt;120,D13&gt;2.9,D13&lt;4,D15=3),T27,IF(AND(P1=2,B9&gt;54,B9&lt;60,C11&gt;159,C11&lt;180,D13&gt;2.9,D13&lt;4,D15=3),T28,IF(AND(P1=2,B9&gt;54,B9&lt;60,C11&gt;139,C11&lt;160,D13&gt;2.9,D13&lt;4,D15=3),T29,IF(AND(P1=2,B9&gt;54,B9&lt;60,C11&gt;119,C11&lt;140,D13&gt;2.9,D13&lt;4,D15=3),T30,IF(AND(P1=2,B9&gt;54,B9&lt;60,C11&gt;109,C11&lt;120,D13&gt;2.9,D13&lt;4,D15=3),T31,IF(AND(P1=2,B9&gt;49,B9&lt;55,C11&gt;159,C11&lt;180,D13&gt;2.9,D13&lt;4,D15=3),T32,IF(AND(P1=2,B9&gt;49,B9&lt;55,C11&gt;139,C11&lt;160,D13&gt;2.9,D13&lt;4,D15=3),T33,IF(AND(P1=2,B9&gt;49,B9&lt;55,C11&gt;119,C11&lt;140,D13&gt;2.9,D13&lt;4,D15=3),T34,IF(AND(P1=2,B9&gt;49,B9&lt;55,C11&gt;109,C11&lt;120,D13&gt;2.9,D13&lt;4,D15=3),T35,IF(AND(P1=2,B9&gt;44,B9&lt;50,C11&gt;159,C11&lt;180,D13&gt;2.9,D13&lt;4,D15=3),T36,IF(AND(P1=2,B9&gt;44,B9&lt;50,C11&gt;139,C11&lt;160,D13&gt;2.9,D13&lt;4,D15=3),T37,IF(AND(P1=2,B9&gt;44,B9&lt;50,C11&gt;119,C11&lt;140,D13&gt;2.9,D13&lt;4,D15=3),T38,IF(AND(P1=2,B9&gt;44,B9&lt;50,C11&gt;109,C11&lt;120,D13&gt;2.9,D13&lt;4,D15=3),T39,IF(AND(P1=2,B9&gt;39,B9&lt;45,C11&gt;159,C11&lt;180,D13&gt;2.9,D13&lt;4,D15=3),T40,IF(AND(P1=2,B9&gt;39,B9&lt;45,C11&gt;139,C11&lt;160,D13&gt;2.9,D13&lt;4,D15=3),T41,IF(AND(P1=2,B9&gt;39,B9&lt;45,C11&gt;119,C11&lt;140,D13&gt;2.9,D13&lt;4,D15=3),T42,IF(AND(P1=2,B9&gt;39,B9&lt;45,C11&gt;109,C11&lt;120,D13&gt;2.9,D13&lt;4,D15=3),T43,IF(AND(P1=2,B9&gt;64,B9&lt;70,C11&gt;159,C11&lt;180,D13&gt;2.9,D13&lt;4,D15=2),X20,IF(AND(P1=2,B9&gt;64,B9&lt;70,C11&gt;139,C11&lt;160,D13&gt;2.9,D13&lt;4,D15=2),X21,IF(AND(P1=2,B9&gt;64,B9&lt;70,C11&gt;119,C11&lt;140,D13&gt;2.9,D13&lt;4,D15=2),X22,IF(AND(P1=2,B9&gt;64,B9&lt;70,C11&gt;109,C11&lt;120,D13&gt;2.9,D13&lt;4,D15=2),X23,IF(AND(P1=2,B9&gt;59,B9&lt;65,C11&gt;159,C11&lt;180,D13&gt;2.9,D13&lt;4,D15=2),X24,IF(AND(P1=2,B9&gt;59,B9&lt;65,C11&gt;139,C11&lt;160,D13&gt;2.9,D13&lt;4,D15=2),X25,IF(AND(P1=2,B9&gt;59,B9&lt;65,C11&gt;119,C11&lt;140,D13&gt;2.9,D13&lt;4,D15=2),X26,IF(AND(P1=2,B9&gt;59,B9&lt;65,C11&gt;109,C11&lt;120,D13&gt;2.9,D13&lt;4,D15=2),X27,IF(AND(P1=2,B9&gt;54,B9&lt;60,C11&gt;159,C11&lt;180,D13&gt;2.9,D13&lt;4,D15=2),X28,IF(AND(P1=2,B9&gt;54,B9&lt;60,C11&gt;139,C11&lt;160,D13&gt;2.9,D13&lt;4,D15=2),X29,IF(AND(P1=2,B9&gt;54,B9&lt;60,C11&gt;119,C11&lt;140,D13&gt;2.9,D13&lt;4,D15=2),X30,IF(AND(P1=2,B9&gt;54,B9&lt;60,C11&gt;109,C11&lt;120,D13&gt;2.9,D13&lt;4,D15=2),X31,IF(AND(P1=2,B9&gt;49,B9&lt;55,C11&gt;159,C11&lt;180,D13&gt;2.9,D13&lt;4,D15=2),X32,IF(AND(P1=2,B9&gt;49,B9&lt;55,C11&gt;139,C11&lt;160,D13&gt;2.9,D13&lt;4,D15=2),X33,IF(AND(P1=2,B9&gt;49,B9&lt;55,C11&gt;119,C11&lt;140,D13&gt;2.9,D13&lt;4,D15=2),X34,IF(AND(P1=2,B9&gt;49,B9&lt;55,C11&gt;109,C11&lt;120,D13&gt;2.9,D13&lt;4,D15=2),X35,IF(AND(P1=2,B9&gt;44,B9&lt;50,C11&gt;159,C11&lt;180,D13&gt;2.9,D13&lt;4,D15=2),X36,IF(AND(P1=2,B9&gt;44,B9&lt;50,C11&gt;139,C11&lt;160,D13&gt;2.9,D13&lt;4,D15=2),X37,IF(AND(P1=2,B9&gt;44,B9&lt;50,C11&gt;119,C11&lt;140,D13&gt;2.9,D13&lt;4,D15=2),X38,IF(AND(P1=2,B9&gt;44,B9&lt;50,C11&gt;109,C11&lt;120,D13&gt;2.9,D13&lt;4,D15=2),X39,IF(AND(P1=2,B9&gt;39,B9&lt;45,C11&gt;159,C11&lt;180,D13&gt;2.9,D13&lt;4,D15=2),X40,IF(AND(P1=2,B9&gt;39,B9&lt;45,C11&gt;139,C11&lt;160,D13&gt;2.9,D13&lt;4,D15=2),X41,IF(AND(P1=2,B9&gt;39,B9&lt;45,C11&gt;119,C11&lt;140,D13&gt;2.9,D13&lt;4,D15=2),X42,IF(AND(P1=2,B9&gt;39,B9&lt;45,C11&gt;109,C11&lt;120,D13&gt;2.9,D13&lt;4,D15=2),X43,P8))))))))))))))))))))))))))))))))))))))))))))))))</f>
        <v>0</v>
      </c>
      <c r="R20" s="236" t="s">
        <v>99</v>
      </c>
      <c r="S20" s="21" t="s">
        <v>87</v>
      </c>
      <c r="T20" s="22">
        <v>27</v>
      </c>
      <c r="U20" s="23">
        <v>28</v>
      </c>
      <c r="V20" s="23">
        <v>30</v>
      </c>
      <c r="W20" s="24">
        <v>31</v>
      </c>
      <c r="X20" s="22">
        <v>41</v>
      </c>
      <c r="Y20" s="23">
        <v>42</v>
      </c>
      <c r="Z20" s="23">
        <v>44</v>
      </c>
      <c r="AA20" s="24">
        <v>46</v>
      </c>
      <c r="AC20" s="236" t="s">
        <v>99</v>
      </c>
      <c r="AD20" s="21" t="s">
        <v>87</v>
      </c>
      <c r="AE20" s="22">
        <v>26</v>
      </c>
      <c r="AF20" s="23">
        <v>28</v>
      </c>
      <c r="AG20" s="23">
        <v>30</v>
      </c>
      <c r="AH20" s="24">
        <v>32</v>
      </c>
      <c r="AI20" s="22">
        <v>36</v>
      </c>
      <c r="AJ20" s="23">
        <v>39</v>
      </c>
      <c r="AK20" s="23">
        <v>42</v>
      </c>
      <c r="AL20" s="24">
        <v>44</v>
      </c>
    </row>
    <row r="21" spans="1:38" ht="14.5" customHeight="1" x14ac:dyDescent="0.35">
      <c r="A21" s="200" t="e">
        <f ca="1">IF(AND(B9&lt;50,J20&gt;0,J20&lt;7.5),P46,IF(AND(B9&lt;50,J20&gt;7.4),P46,IF(AND(B9&lt;50,J22&gt;0,J22&lt;7.5),P46,IF(AND(B9&lt;50,J22&gt;7.4),P46,IF(AND(B9&lt;50,J24&gt;0,J24&lt;7.5),P46,IF(AND(B9&lt;50,J24&gt;7.4),P46,IF(AND(B9&lt;50,J26&gt;0,J26&lt;7.5),P46,IF(AND(B9&lt;50,J26&gt;7.4),P46,IF(AND(B9&lt;50,N20&gt;0,N20&lt;7.5),P46,IF(AND(B9&lt;50,N20&gt;7.4),P46,IF(AND(B9&lt;50,N22&gt;0,N22&lt;7.5),P46,IF(AND(B9&lt;50,N22&gt;7.4),P46,IF(AND(B9&lt;50,N24&gt;0,N24&lt;7.5),P46,IF(AND(B9&lt;50,N24&gt;7.4),P46,IF(AND(B9&lt;50,N26&gt;0,N26&lt;7.5),P46,IF(AND(B9&lt;50,N26&gt;7.4),P46,IF(AND(B9&gt;49,B9&lt;70,J20&gt;0,J20&lt;5),P46,IF(AND(B9&gt;49,B9&lt;70,J20&gt;4.9,J20&lt;10),P46,IF(AND(B9&gt;49,B9&lt;70,J20&gt;9.9),P46,IF(AND(B9&gt;49,B9&lt;70,J22&gt;0,J22&lt;5),P46,IF(AND(B9&gt;49,B9&lt;70,J22&gt;4.9,J22&lt;10),P46,IF(AND(B9&gt;49,B9&lt;70,J22&gt;9.9),P46,IF(AND(B9&gt;49,B9&lt;70,J24&gt;0,J24&lt;7.5),P46,IF(AND(B9&gt;49,B9&lt;70,J24&gt;4.9,J24&lt;10),P46,IF(AND(B9&gt;49,B9&lt;70,J24&gt;9.9),P46,IF(AND(B9&gt;49,B9&lt;70,J26&gt;0,J26&lt;7.5),P46,IF(AND(B9&gt;49,B9&lt;70,J26&gt;4.9,J26&lt;10),P46,IF(AND(B9&gt;49,B9&lt;70,J26&gt;9.9),P46,IF(AND(B9&gt;49,B9&lt;70,N20&gt;0,N20&lt;7.5),P46,IF(AND(B9&gt;49,B9&lt;70,N20&gt;4.9,N20&lt;10),P46,IF(AND(B9&gt;49,B9&lt;70,N20&gt;9.9),P46,IF(AND(B9&gt;49,B9&lt;70,N22&gt;0,N22&lt;7.5),P46,IF(AND(B9&gt;49,B9&lt;70,N22&gt;4.9,N22&lt;10),P46,IF(AND(B9&gt;49,B9&lt;70,N22&gt;9.9),P46,IF(AND(B9&gt;49,B9&lt;70,N24&gt;0,N24&lt;7.5),P46,IF(AND(B9&gt;49,B9&lt;70,N24&gt;4.9,N24&lt;10),P46,IF(AND(B9&gt;49,B9&lt;70,N24&gt;9.9),P46,IF(AND(B9&gt;49,B9&lt;70,N26&gt;0,N26&lt;7.5),P46,IF(AND(B9&gt;49,B9&lt;70,N26&gt;4.9,N26&lt;104),P46,IF(AND(B9&gt;49,B9&lt;70,N26&gt;9.9),P46,IF(AND(B9&gt;69,N7&gt;0,N7&lt;7.5),P52,IF(AND(B9&gt;69,J7&gt;0,J7&lt;7.5),P52,IF(AND(B9&gt;69,N9&gt;0,N9&lt;7.5),P52,IF(AND(B9&gt;69,J9&gt;0,J9&lt;7.5),P52,IF(AND(B9&gt;69,N11&gt;0,N11&lt;7.5),P52,IF(AND(B9&gt;69,J11&gt;0,J11&lt;7.5),P52,IF(AND(B9&gt;69,N13&gt;0,N13&lt;7.5),P52,IF(AND(B9&gt;69,J13&gt;0,J13&lt;7.5),P52,IF(AND(B9&gt;69,N7&gt;7.4),P46,IF(AND(B9&gt;69,J7&gt;7.4),P46,IF(AND(B9&gt;69,N9&gt;7.4),P46,IF(AND(B9&gt;69,J9&gt;7.4),P46,IF(AND(B9&gt;69,N11&gt;7.4),P46,IF(AND(B9&gt;69,J11&gt;7.4),P46,IF(AND(B9&gt;69,N13&gt;7.4),P46,IF(AND(B9&gt;69,J13&gt;7.4),P46,IF(AND(B9&gt;69,J7&gt;14.9),P46,F(AND(B9&gt;69,N7&gt;14.9),P46,IF(AND(B9&gt;69,N9&gt;14.9),P46,IF(AND(B9&gt;69,J9&gt;14.9),P46,IF(AND(B9&gt;69,N11&gt;14.9),P46,IF(AND(B9&gt;69,J11&gt;14.9),P46,IF(AND(B9&gt;69,N13&gt;14.9),P46,IF(AND(B9&gt;69,J13&gt;14.9),P46,““))))))))))))))))))))))))))))))))))))))))))))))))))))))))))))))))</f>
        <v>#NAME?</v>
      </c>
      <c r="B21" s="200"/>
      <c r="C21" s="200"/>
      <c r="D21" s="200"/>
      <c r="E21" s="200"/>
      <c r="F21" s="200"/>
      <c r="G21" s="200"/>
      <c r="H21" s="200"/>
      <c r="I21" s="41"/>
      <c r="L21" s="6"/>
      <c r="R21" s="237"/>
      <c r="S21" s="25" t="s">
        <v>89</v>
      </c>
      <c r="T21" s="26">
        <v>22</v>
      </c>
      <c r="U21" s="27">
        <v>23</v>
      </c>
      <c r="V21" s="27">
        <v>24</v>
      </c>
      <c r="W21" s="28">
        <v>26</v>
      </c>
      <c r="X21" s="26">
        <v>34</v>
      </c>
      <c r="Y21" s="27">
        <v>36</v>
      </c>
      <c r="Z21" s="27">
        <v>37</v>
      </c>
      <c r="AA21" s="28">
        <v>39</v>
      </c>
      <c r="AC21" s="237"/>
      <c r="AD21" s="25" t="s">
        <v>89</v>
      </c>
      <c r="AE21" s="26">
        <v>22</v>
      </c>
      <c r="AF21" s="27">
        <v>24</v>
      </c>
      <c r="AG21" s="27">
        <v>26</v>
      </c>
      <c r="AH21" s="28">
        <v>27</v>
      </c>
      <c r="AI21" s="26">
        <v>31</v>
      </c>
      <c r="AJ21" s="27">
        <v>33</v>
      </c>
      <c r="AK21" s="27">
        <v>36</v>
      </c>
      <c r="AL21" s="28">
        <v>38</v>
      </c>
    </row>
    <row r="22" spans="1:38" ht="14.5" customHeight="1" x14ac:dyDescent="0.35">
      <c r="A22" s="200"/>
      <c r="B22" s="200"/>
      <c r="C22" s="200"/>
      <c r="D22" s="200"/>
      <c r="E22" s="200"/>
      <c r="F22" s="200"/>
      <c r="G22" s="200"/>
      <c r="H22" s="200"/>
      <c r="I22" s="41"/>
      <c r="J22" s="2">
        <f>IF(AND(P1=1,B9&gt;64,B9&lt;70,C11&gt;159,C11&lt;180,D13&gt;3.9,D13&lt;5,D15=3),AF20,IF(AND(P1=1,B9&gt;64,B9&lt;70,C11&gt;139,C11&lt;160,D13&gt;3.9,D13&lt;5,D15=3),AF21,IF(AND(P1=1,B9&gt;64,B9&lt;70,C11&gt;119,C11&lt;140,D13&gt;3.9,D13&lt;5,D15=3),AF22,IF(AND(P1=1,B9&gt;64,B9&lt;70,C11&gt;109,C11&lt;120,D13&gt;3.9,D13&lt;5,D15=3),AF23,IF(AND(P1=1,B9&gt;59,B9&lt;65,C11&gt;159,C11&lt;180,D13&gt;3.9,D13&lt;5,D15=3),AF24,IF(AND(P1=1,B9&gt;59,B9&lt;65,C11&gt;139,C11&lt;160,D13&gt;3.9,D13&lt;5,D15=3),AF25,IF(AND(P1=1,B9&gt;59,B9&lt;65,C11&gt;119,C11&lt;140,D13&gt;3.9,D13&lt;5,D15=3),AF26,IF(AND(P1=1,B9&gt;59,B9&lt;65,C11&gt;109,C11&lt;120,D13&gt;3.9,D13&lt;5,D15=3),AF27,IF(AND(P1=1,B9&gt;54,B9&lt;60,C11&gt;159,C11&lt;180,D13&gt;3.9,D13&lt;5,D15=3),AF28,IF(AND(P1=1,B9&gt;54,B9&lt;60,C11&gt;139,C11&lt;160,D13&gt;3.9,D13&lt;5,D15=3),AF29,IF(AND(P1=1,B9&gt;54,B9&lt;60,C11&gt;119,C11&lt;140,D13&gt;3.9,D13&lt;5,D15=3),AF30,IF(AND(P1=1,B9&gt;54,B9&lt;60,C11&gt;109,C11&lt;120,D13&gt;3.9,D13&lt;5,D15=3),AF31,IF(AND(P1=1,B9&gt;49,B9&lt;55,C11&gt;159,C11&lt;180,D13&gt;3.9,D13&lt;5,D15=3),AF32,IF(AND(P1=1,B9&gt;49,B9&lt;55,C11&gt;139,C11&lt;160,D13&gt;3.9,D13&lt;5,D15=3),AF33,IF(AND(P1=1,B9&gt;49,B9&lt;55,C11&gt;119,C11&lt;140,D13&gt;3.9,D13&lt;5,D15=3),AF34,IF(AND(P1=1,B9&gt;49,B9&lt;55,C11&gt;109,C11&lt;120,D13&gt;3.9,D13&lt;5,D15=3),AF35,IF(AND(P1=1,B9&gt;44,B9&lt;50,C11&gt;159,C11&lt;180,D13&gt;3.9,D13&lt;5,D15=3),AF36,IF(AND(P1=1,B9&gt;44,B9&lt;50,C11&gt;139,C11&lt;160,D13&gt;3.9,D13&lt;5,D15=3),AF37,IF(AND(P1=1,B9&gt;44,B9&lt;50,C11&gt;119,C11&lt;140,D13&gt;3.9,D13&lt;5,D15=3),AF38,IF(AND(P1=1,B9&gt;44,B9&lt;50,C11&gt;109,C11&lt;120,D13&gt;3.9,D13&lt;5,D15=3),AF39,IF(AND(P1=1,B9&gt;39,B9&lt;45,C11&gt;159,C11&lt;180,D13&gt;3.9,D13&lt;5,D15=3),AF40,IF(AND(P1=1,B9&gt;39,B9&lt;45,C11&gt;139,C11&lt;160,D13&gt;3.9,D13&lt;5,D15=3),AF41,IF(AND(P1=1,B9&gt;39,B9&lt;45,C11&gt;119,C11&lt;140,D13&gt;3.9,D13&lt;5,D15=3),AF42,IF(AND(P1=1,B9&gt;39,B9&lt;45,C11&gt;109,C11&lt;120,D13&gt;3.9,D13&lt;5,D15=3),AF43,IF(AND(P1=1,B9&gt;64,B9&lt;70,C11&gt;159,C11&lt;180,D13&gt;3.9,D13&lt;5,D15=2),AJ20,IF(AND(P1=1,B9&gt;64,B9&lt;70,C11&gt;139,C11&lt;160,D13&gt;3.9,D13&lt;5,D15=2),AJ21,IF(AND(P1=1,B9&gt;64,B9&lt;70,C11&gt;119,C11&lt;140,D13&gt;3.9,D13&lt;5,D15=2),AJ22,IF(AND(P1=1,B9&gt;64,B9&lt;70,C11&gt;109,C11&lt;120,D13&gt;3.9,D13&lt;5,D15=2),AJ23,IF(AND(P1=1,B9&gt;59,B9&lt;65,C11&gt;159,C11&lt;180,D13&gt;3.9,D13&lt;5,D15=2),AJ24,IF(AND(P1=1,B9&gt;59,B9&lt;65,C11&gt;139,C11&lt;160,D13&gt;3.9,D13&lt;5,D15=2),AJ25,IF(AND(P1=1,B9&gt;59,B9&lt;65,C11&gt;119,C11&lt;140,D13&gt;3.9,D13&lt;5,D15=2),AJ26,IF(AND(P1=1,B9&gt;59,B9&lt;65,C11&gt;109,C11&lt;120,D13&gt;3.9,D13&lt;5,D15=2),AJ27,IF(AND(P1=1,B9&gt;54,B9&lt;60,C11&gt;159,C11&lt;180,D13&gt;3.9,D13&lt;5,D15=2),AJ28,IF(AND(P1=1,B9&gt;54,B9&lt;60,C11&gt;139,C11&lt;160,D13&gt;3.9,D13&lt;5,D15=2),AJ29,IF(AND(P1=1,B9&gt;54,B9&lt;60,C11&gt;119,C11&lt;140,D13&gt;3.9,D13&lt;5,D15=2),AJ30,IF(AND(P1=1,B9&gt;54,B9&lt;60,C11&gt;109,C11&lt;120,D13&gt;3.9,D13&lt;5,D15=2),AJ31,IF(AND(P1=1,B9&gt;49,B9&lt;55,C11&gt;159,C11&lt;180,D13&gt;3.9,D13&lt;5,D15=2),AJ32,IF(AND(P1=1,B9&gt;49,B9&lt;55,C11&gt;139,C11&lt;160,D13&gt;3.9,D13&lt;5,D15=2),AJ33,IF(AND(P1=1,B9&gt;49,B9&lt;55,C11&gt;119,C11&lt;140,D13&gt;3.9,D13&lt;5,D15=2),AJ34,IF(AND(P1=1,B9&gt;49,B9&lt;55,C11&gt;109,C11&lt;120,D13&gt;3.9,D13&lt;5,D15=2),AJ35,IF(AND(P1=1,B9&gt;44,B9&lt;50,C11&gt;159,C11&lt;180,D13&gt;3.9,D13&lt;D515=2),AJ36,IF(AND(P1=1,B9&gt;44,B9&lt;50,C11&gt;139,C11&lt;160,D13&gt;3.9,D13&lt;5,D15=2),AJ37,IF(AND(P1=1,B9&gt;44,B9&lt;50,C11&gt;119,C11&lt;140,D13&gt;3.9,D13&lt;5,D15=2),AJ38,IF(AND(P1=1,B9&gt;44,B9&lt;50,C11&gt;109,C11&lt;120,D13&gt;3.9,D13&lt;5,D15=2),AJ39,IF(AND(P1=1,B9&gt;39,B9&lt;45,C11&gt;159,C11&lt;180,D13&gt;3.9,D13&lt;5,D15=2),AJ40,IF(AND(P1=1,B9&gt;39,B9&lt;45,C11&gt;139,C11&lt;160,D13&gt;3.9,D13&lt;5,D15=2),AJ41,IF(AND(P1=1,B9&gt;39,B9&lt;45,C11&gt;119,C11&lt;140,D13&gt;3.9,D13&lt;5,D15=2),AJ42,IF(AND(P1=1,B9&gt;39,B9&lt;45,C11&gt;109,C11&lt;120,D13&gt;3.9,D13&lt;5,D15=2),AJ43,P8))))))))))))))))))))))))))))))))))))))))))))))))</f>
        <v>0</v>
      </c>
      <c r="K22" s="14" t="str">
        <f>IF(J22&gt;0,P7,IF(J22=0,"",""))</f>
        <v/>
      </c>
      <c r="L22" s="6"/>
      <c r="M22" s="35" t="str">
        <f>IF(N22&gt;0,P6,IF(N22="","",""))</f>
        <v/>
      </c>
      <c r="N22" s="2">
        <f>IF(AND(P1=2,B9&gt;64,B9&lt;70,C11&gt;159,C11&lt;180,D13&gt;3.9,D13&lt;5,D15=3),U20,IF(AND(P1=2,B9&gt;64,B9&lt;70,C11&gt;139,C11&lt;160,D13&gt;3.9,D13&lt;5,D15=3),U21,IF(AND(P1=2,B9&gt;64,B9&lt;70,C11&gt;119,C11&lt;140,D13&gt;3.9,D13&lt;5,D15=3),U22,IF(AND(P1=2,B9&gt;64,B9&lt;70,C11&gt;109,C11&lt;120,D13&gt;3.9,D13&lt;5,D15=3),U23,IF(AND(P1=2,B9&gt;59,B9&lt;65,C11&gt;159,C11&lt;180,D13&gt;3.9,D13&lt;5,D15=3),U24,IF(AND(P1=2,B9&gt;59,B9&lt;65,C11&gt;139,C11&lt;160,D13&gt;3.9,D13&lt;5,D15=3),U25,IF(AND(P1=2,B9&gt;59,B9&lt;65,C11&gt;119,C11&lt;140,D13&gt;3.9,D13&lt;5,D15=3),U26,IF(AND(P1=2,B9&gt;59,B9&lt;65,C11&gt;109,C11&lt;120,D13&gt;3.9,D13&lt;5,D15=3),U27,IF(AND(P1=2,B9&gt;54,B9&lt;60,C11&gt;159,C11&lt;180,D13&gt;3.9,D13&lt;5,D15=3),U28,IF(AND(P1=2,B9&gt;54,B9&lt;60,C11&gt;139,C11&lt;160,D13&gt;3.9,D13&lt;5,D15=3),U29,IF(AND(P1=2,B9&gt;54,B9&lt;60,C11&gt;119,C11&lt;140,D13&gt;3.9,D13&lt;5,D15=3),U30,IF(AND(P1=2,B9&gt;54,B9&lt;60,C11&gt;109,C11&lt;120,D13&gt;3.9,D13&lt;5,D15=3),U31,IF(AND(P1=2,B9&gt;49,B9&lt;55,C11&gt;159,C11&lt;180,D13&gt;3.9,D13&lt;5,D15=3),U32,IF(AND(P1=2,B9&gt;49,B9&lt;55,C11&gt;139,C11&lt;160,D13&gt;3.9,D13&lt;5,D15=3),U33,IF(AND(P1=2,B9&gt;49,B9&lt;55,C11&gt;119,C11&lt;140,D13&gt;3.9,D13&lt;5,D15=3),U34,IF(AND(P1=2,B9&gt;49,B9&lt;55,C11&gt;109,C11&lt;120,D13&gt;3.9,D13&lt;5,D15=3),U35,IF(AND(P1=2,B9&gt;44,B9&lt;50,C11&gt;159,C11&lt;180,D13&gt;3.9,D13&lt;5,D15=3),U36,IF(AND(P1=2,B9&gt;44,B9&lt;50,C11&gt;139,C11&lt;160,D13&gt;3.9,D13&lt;5,D15=3),U37,IF(AND(P1=2,B9&gt;44,B9&lt;50,C11&gt;119,C11&lt;140,D13&gt;3.9,D13&lt;5,D15=3),U38,IF(AND(P1=2,B9&gt;44,B9&lt;50,C11&gt;109,C11&lt;120,D13&gt;3.9,D13&lt;5,D15=3),U39,IF(AND(P1=2,B9&gt;39,B9&lt;45,C11&gt;159,C11&lt;180,D13&gt;3.9,D13&lt;5,D15=3),U40,IF(AND(P1=2,B9&gt;39,B9&lt;45,C11&gt;139,C11&lt;160,D13&gt;3.9,D13&lt;5,D15=3),U41,IF(AND(P1=2,B9&gt;39,B9&lt;45,C11&gt;119,C11&lt;140,D13&gt;3.9,D13&lt;5,D15=3),U42,IF(AND(P1=2,B9&gt;39,B9&lt;45,C11&gt;109,C11&lt;120,D13&gt;3.9,D13&lt;5,D15=3),U43,IF(AND(P1=2,B9&gt;64,B9&lt;70,C11&gt;159,C11&lt;180,D13&gt;3.9,D13&lt;5,D15=2),Y20,IF(AND(P1=2,B9&gt;64,B9&lt;70,C11&gt;139,C11&lt;160,D13&gt;3.9,D13&lt;5,D15=2),Y21,IF(AND(P1=2,B9&gt;64,B9&lt;70,C11&gt;119,C11&lt;140,D13&gt;3.9,D13&lt;5,D15=2),Y22,IF(AND(P1=2,B9&gt;64,B9&lt;70,C11&gt;109,C11&lt;120,D13&gt;3.9,D13&lt;5,D15=2),Y23,IF(AND(P1=2,B9&gt;59,B9&lt;65,C11&gt;159,C11&lt;180,D13&gt;3.9,D13&lt;5,D15=2),Y24,IF(AND(P1=2,B9&gt;59,B9&lt;65,C11&gt;139,C11&lt;160,D13&gt;3.9,D13&lt;5,D15=2),Y25,IF(AND(P1=2,B9&gt;59,B9&lt;65,C11&gt;119,C11&lt;140,D13&gt;3.9,D13&lt;5,D15=2),Y26,IF(AND(P1=2,B9&gt;59,B9&lt;65,C11&gt;109,C11&lt;120,D13&gt;3.9,D13&lt;5,D15=2),Y27,IF(AND(P1=2,B9&gt;54,B9&lt;60,C11&gt;159,C11&lt;180,D13&gt;3.9,D13&lt;5,D15=2),Y28,IF(AND(P1=2,B9&gt;54,B9&lt;60,C11&gt;139,C11&lt;160,D13&gt;3.9,D13&lt;5,D15=2),Y29,IF(AND(P1=2,B9&gt;54,B9&lt;60,C11&gt;119,C11&lt;140,D13&gt;3.9,D13&lt;5,D15=2),Y30,IF(AND(P1=2,B9&gt;54,B9&lt;60,C11&gt;109,C11&lt;120,D13&gt;3.9,D13&lt;5,D15=2),Y31,IF(AND(P1=2,B9&gt;49,B9&lt;55,C11&gt;159,C11&lt;180,D13&gt;3.9,D13&lt;5,D15=2),Y32,IF(AND(P1=2,B9&gt;49,B9&lt;55,C11&gt;139,C11&lt;160,D13&gt;3.9,D13&lt;5,D15=2),Y33,IF(AND(P1=2,B9&gt;49,B9&lt;55,C11&gt;119,C11&lt;140,D13&gt;3.9,D13&lt;5,D15=2),Y34,IF(AND(P1=2,B9&gt;49,B9&lt;55,C11&gt;109,C11&lt;120,D13&gt;3.9,D13&lt;5,D15=2),Y35,IF(AND(P1=2,B9&gt;44,B9&lt;50,C11&gt;159,C11&lt;180,D13&gt;3.9,D13&lt;4,D15=2),Y36,IF(AND(P1=2,B9&gt;44,B9&lt;50,C11&gt;139,C11&lt;160,D13&gt;3.9,D13&lt;5,D15=2),Y37,IF(AND(P1=2,B9&gt;44,B9&lt;50,C11&gt;119,C11&lt;140,D13&gt;3.9,D13&lt;5,D15=2),Y38,IF(AND(P1=2,B9&gt;44,B9&lt;50,C11&gt;109,C11&lt;120,D13&gt;3.9,D13&lt;5,D15=2),Y39,IF(AND(P1=2,B9&gt;39,B9&lt;45,C11&gt;159,C11&lt;180,D13&gt;3.9,D13&lt;5,D15=2),Y40,IF(AND(P1=2,B9&gt;39,B9&lt;45,C11&gt;139,C11&lt;160,D13&gt;3.9,D13&lt;5,D15=2),Y41,IF(AND(P1=2,B9&gt;39,B9&lt;45,C11&gt;119,C11&lt;140,D13&gt;3.9,D13&lt;5,D15=2),Y42,IF(AND(P1=2,B9&gt;39,B9&lt;45,C11&gt;109,C11&lt;120,D13&gt;3.9,D13&lt;5,D15=2),Y43,P8))))))))))))))))))))))))))))))))))))))))))))))))</f>
        <v>0</v>
      </c>
      <c r="R22" s="237"/>
      <c r="S22" s="25" t="s">
        <v>90</v>
      </c>
      <c r="T22" s="26">
        <v>18</v>
      </c>
      <c r="U22" s="27">
        <v>19</v>
      </c>
      <c r="V22" s="27">
        <v>20</v>
      </c>
      <c r="W22" s="28">
        <v>21</v>
      </c>
      <c r="X22" s="26">
        <v>28</v>
      </c>
      <c r="Y22" s="27">
        <v>30</v>
      </c>
      <c r="Z22" s="27">
        <v>31</v>
      </c>
      <c r="AA22" s="28">
        <v>33</v>
      </c>
      <c r="AC22" s="237"/>
      <c r="AD22" s="25" t="s">
        <v>90</v>
      </c>
      <c r="AE22" s="26">
        <v>18</v>
      </c>
      <c r="AF22" s="27">
        <v>20</v>
      </c>
      <c r="AG22" s="27">
        <v>21</v>
      </c>
      <c r="AH22" s="28">
        <v>23</v>
      </c>
      <c r="AI22" s="26">
        <v>26</v>
      </c>
      <c r="AJ22" s="27">
        <v>28</v>
      </c>
      <c r="AK22" s="27">
        <v>30</v>
      </c>
      <c r="AL22" s="28">
        <v>33</v>
      </c>
    </row>
    <row r="23" spans="1:38" ht="15" customHeight="1" thickBot="1" x14ac:dyDescent="0.4">
      <c r="A23" s="200" t="e">
        <f ca="1">IF(AND(B9&lt;50,J20&gt;0,J20&lt;7.5),P47,IF(AND(B9&lt;50,J20&gt;7.4),P47,IF(AND(B9&lt;50,J22&gt;0,J22&lt;7.5),P47,IF(AND(B9&lt;50,J22&gt;7.4),P47,IF(AND(B9&lt;50,J24&gt;0,J24&lt;7.5),P47,IF(AND(B9&lt;50,J24&gt;7.4),P47,IF(AND(B9&lt;50,J26&gt;0,J26&lt;7.5),P47,IF(AND(B9&lt;50,J26&gt;7.4),P47,IF(AND(B9&lt;50,N20&gt;0,N20&lt;7.5),P47,IF(AND(B9&lt;50,N20&gt;7.4),P47,IF(AND(B9&lt;50,N22&gt;0,N22&lt;7.5),P47,IF(AND(B9&lt;50,N22&gt;7.4),P47,IF(AND(B9&lt;50,N24&gt;0,N24&lt;7.5),P47,IF(AND(B9&lt;50,N24&gt;7.4),P47,IF(AND(B9&lt;50,N26&gt;0,N26&lt;7.5),P47,IF(AND(B9&lt;50,N26&gt;7.4),P47,IF(AND(B9&gt;49,B9&lt;70,J20&gt;0,J20&lt;5),P47,IF(AND(B9&gt;49,B9&lt;70,J20&gt;4.9,J20&lt;10),P47,IF(AND(B9&gt;49,B9&lt;70,J20&gt;9.9),P47,IF(AND(B9&gt;49,B9&lt;70,J22&gt;0,J22&lt;5),P47,IF(AND(B9&gt;49,B9&lt;70,J22&gt;4.9,J22&lt;10),P47,IF(AND(B9&gt;49,B9&lt;70,J22&gt;9.9),P47,IF(AND(B9&gt;49,B9&lt;70,J24&gt;0,J24&lt;7.5),P47,IF(AND(B9&gt;49,B9&lt;70,J24&gt;4.9,J24&lt;10),P47,IF(AND(B9&gt;49,B9&lt;70,J24&gt;9.9),P47,IF(AND(B9&gt;49,B9&lt;70,J26&gt;0,J26&lt;7.5),P47,IF(AND(B9&gt;49,B9&lt;70,J26&gt;4.9,J26&lt;10),P47,IF(AND(B9&gt;49,B9&lt;70,J26&gt;9.9),P47,IF(AND(B9&gt;49,B9&lt;70,N20&gt;0,N20&lt;7.5),P47,IF(AND(B9&gt;49,B9&lt;70,N20&gt;4.9,N20&lt;10),P47,IF(AND(B9&gt;49,B9&lt;70,N20&gt;9.9),P47,IF(AND(B9&gt;49,B9&lt;70,N22&gt;0,N22&lt;7.5),P47,IF(AND(B9&gt;49,B9&lt;70,N22&gt;4.9,N22&lt;10),P47,IF(AND(B9&gt;49,B9&lt;70,N22&gt;9.9),P47,IF(AND(B9&gt;49,B9&lt;70,N24&gt;0,N24&lt;7.5),P47,IF(AND(B9&gt;49,B9&lt;70,N24&gt;4.9,N24&lt;10),P47,IF(AND(B9&gt;49,B9&lt;70,N24&gt;9.9),P47,IF(AND(B9&gt;49,B9&lt;70,N26&gt;0,N26&lt;7.5),P47,IF(AND(B9&gt;49,B9&lt;70,N26&gt;4.9,N26&lt;10),P47,IF(AND(B9&gt;49,B9&lt;70,N26&gt;9.9),P47,IF(AND(B9&gt;69,N7&gt;0,N7&lt;7.5),P52,IF(AND(B9&gt;69,J7&gt;0,J7&lt;7.5),P52,IF(AND(B9&gt;69,N9&gt;0,N9&lt;7.5),P52,IF(AND(B9&gt;69,J9&gt;0,J9&lt;7.5),P52,IF(AND(B9&gt;69,N11&gt;0,N11&lt;7.5),P52,IF(AND(B9&gt;69,J11&gt;0,J11&lt;7.5),P52,IF(AND(B9&gt;69,N13&gt;0,N13&lt;7.5),P52,IF(AND(B9&gt;69,J13&gt;0,J13&lt;7.5),P52,IF(AND(B9&gt;69,N7&gt;7.4),P47,IF(AND(B9&gt;69,J7&gt;7.4),P47,IF(AND(B9&gt;69,N9&gt;7.4),P47,IF(AND(B9&gt;69,J9&gt;7.4),P47,IF(AND(B9&gt;69,N11&gt;7.4),P47,IF(AND(B9&gt;69,J11&gt;7.4),P47,IF(AND(B9&gt;69,N13&gt;7.4),P47,IF(AND(B9&gt;69,J13&gt;7.4),P47,IF(AND(B9&gt;69,J7&gt;14.9),P47,F(AND(B9&gt;69,N7&gt;14.9),P47,IF(AND(B9&gt;69,N9&gt;14.9),P47,IF(AND(B9&gt;69,J9&gt;14.9),P47,IF(AND(B9&gt;69,N11&gt;14.9),P47,IF(AND(B9&gt;69,J11&gt;14.9),P47,IF(AND(B9&gt;69,N13&gt;14.9),P47,IF(AND(B9&gt;69,J13&gt;14.9),P47,““))))))))))))))))))))))))))))))))))))))))))))))))))))))))))))))))</f>
        <v>#NAME?</v>
      </c>
      <c r="B23" s="200"/>
      <c r="C23" s="200"/>
      <c r="D23" s="200"/>
      <c r="E23" s="200"/>
      <c r="F23" s="200"/>
      <c r="G23" s="200"/>
      <c r="H23" s="200"/>
      <c r="I23" s="41"/>
      <c r="K23" s="14"/>
      <c r="L23" s="6"/>
      <c r="R23" s="238"/>
      <c r="S23" s="30" t="s">
        <v>92</v>
      </c>
      <c r="T23" s="31">
        <v>15</v>
      </c>
      <c r="U23" s="32">
        <v>16</v>
      </c>
      <c r="V23" s="32">
        <v>16</v>
      </c>
      <c r="W23" s="33">
        <v>17</v>
      </c>
      <c r="X23" s="31">
        <v>23</v>
      </c>
      <c r="Y23" s="32">
        <v>24</v>
      </c>
      <c r="Z23" s="32">
        <v>26</v>
      </c>
      <c r="AA23" s="33">
        <v>27</v>
      </c>
      <c r="AC23" s="238"/>
      <c r="AD23" s="30" t="s">
        <v>92</v>
      </c>
      <c r="AE23" s="31">
        <v>15</v>
      </c>
      <c r="AF23" s="32">
        <v>17</v>
      </c>
      <c r="AG23" s="32">
        <v>18</v>
      </c>
      <c r="AH23" s="33">
        <v>19</v>
      </c>
      <c r="AI23" s="31">
        <v>22</v>
      </c>
      <c r="AJ23" s="32">
        <v>24</v>
      </c>
      <c r="AK23" s="32">
        <v>26</v>
      </c>
      <c r="AL23" s="33">
        <v>28</v>
      </c>
    </row>
    <row r="24" spans="1:38" x14ac:dyDescent="0.35">
      <c r="A24" s="200"/>
      <c r="B24" s="200"/>
      <c r="C24" s="200"/>
      <c r="D24" s="200"/>
      <c r="E24" s="200"/>
      <c r="F24" s="200"/>
      <c r="G24" s="200"/>
      <c r="H24" s="200"/>
      <c r="I24" s="41"/>
      <c r="J24" s="2">
        <f>IF(AND(P1=1,B9&gt;64,B9&lt;70,C11&gt;159,C11&lt;180,D13&gt;4.9,D13&lt;6,D15=3),AG20,IF(AND(P1=1,B9&gt;64,B9&lt;70,C11&gt;139,C11&lt;160,D13&gt;4.9,D13&lt;6,D15=3),AG21,IF(AND(P1=1,B9&gt;64,B9&lt;70,C11&gt;119,C11&lt;140,D13&gt;4.9,D13&lt;6,D15=3),AG22,IF(AND(P1=1,B9&gt;64,B9&lt;70,C11&gt;109,C11&lt;120,D13&gt;4.9,D13&lt;6,D15=3),AG23,IF(AND(P1=1,B9&gt;59,B9&lt;65,C11&gt;159,C11&lt;180,D13&gt;4.9,D13&lt;6,D15=3),AG24,IF(AND(P1=1,B9&gt;59,B9&lt;65,C11&gt;139,C11&lt;160,D13&gt;4.9,D13&lt;6,D15=3),AG25,IF(AND(P1=1,B9&gt;59,B9&lt;65,C11&gt;119,C11&lt;140,D13&gt;4.9,D13&lt;6,D15=3),AG26,IF(AND(P1=1,B9&gt;59,B9&lt;65,C11&gt;109,C11&lt;120,D13&gt;4.9,D13&lt;6,D15=3),AG27,IF(AND(P1=1,B9&gt;54,B9&lt;60,C11&gt;159,C11&lt;180,D13&gt;4.9,D13&lt;6,D15=3),AG28,IF(AND(P1=1,B9&gt;54,B9&lt;60,C11&gt;139,C11&lt;160,D13&gt;4.9,D13&lt;6,D15=3),AG29,IF(AND(P1=1,B9&gt;54,B9&lt;60,C11&gt;119,C11&lt;140,D13&gt;4.9,D13&lt;6,D15=3),AG30,IF(AND(P1=1,B9&gt;54,B9&lt;60,C11&gt;109,C11&lt;120,D13&gt;4.9,D13&lt;6,D15=3),AG31,IF(AND(P1=1,B9&gt;49,B9&lt;55,C11&gt;159,C11&lt;180,D13&gt;4.9,D13&lt;6,D15=3),AG32,IF(AND(P1=1,B9&gt;49,B9&lt;55,C11&gt;139,C11&lt;160,D13&gt;4.9,D13&lt;6,D15=3),AG33,IF(AND(P1=1,B9&gt;49,B9&lt;55,C11&gt;119,C11&lt;140,D13&gt;4.9,D13&lt;6,D15=3),AG34,IF(AND(P1=1,B9&gt;49,B9&lt;55,C11&gt;109,C11&lt;120,D13&gt;4.9,D13&lt;6,D15=3),AG35,IF(AND(P1=1,B9&gt;44,B9&lt;50,C11&gt;159,C11&lt;180,D13&gt;4.9,D13&lt;6,D15=3),AG36,IF(AND(P1=1,B9&gt;44,B9&lt;50,C11&gt;139,C11&lt;160,D13&gt;4.9,D13&lt;6,D15=3),AG37,IF(AND(P1=1,B9&gt;44,B9&lt;50,C11&gt;119,C11&lt;140,D13&gt;4.9,D13&lt;6,D15=3),AG38,IF(AND(P1=1,B9&gt;44,B9&lt;50,C11&gt;109,C11&lt;120,D13&gt;4.9,D13&lt;6,D15=3),AG39,IF(AND(P1=1,B9&gt;39,B9&lt;45,C11&gt;159,C11&lt;180,D13&gt;4.9,D13&lt;6,D15=3),AG40,IF(AND(P1=1,B9&gt;39,B9&lt;45,C11&gt;139,C11&lt;160,D13&gt;4.9,D13&lt;6,D15=3),AG41,IF(AND(P1=1,B9&gt;39,B9&lt;45,C11&gt;119,C11&lt;140,D13&gt;4.9,D13&lt;6,D15=3),AG42,IF(AND(P1=1,B9&gt;39,B9&lt;45,C11&gt;109,C11&lt;120,D13&gt;4.9,D13&lt;6,D15=3),AG43,IF(AND(P1=1,B9&gt;64,B9&lt;70,C11&gt;159,C11&lt;180,D13&gt;4.9,D13&lt;6,D15=2),AK20,IF(AND(P1=1,B9&gt;64,B9&lt;70,C11&gt;139,C11&lt;160,D13&gt;4.9,D13&lt;6,D15=2),AK21,IF(AND(P1=1,B9&gt;64,B9&lt;70,C11&gt;119,C11&lt;140,D13&gt;4.9,D13&lt;6,D15=2),AK22,IF(AND(P1=1,B9&gt;64,B9&lt;70,C11&gt;109,C11&lt;120,D13&gt;4.9,D13&lt;6,D15=2),AK23,IF(AND(P1=1,B9&gt;59,B9&lt;65,C11&gt;159,C11&lt;180,D13&gt;4.9,D13&lt;6,D15=2),AK24,IF(AND(P1=1,B9&gt;59,B9&lt;65,C11&gt;139,C11&lt;160,D13&gt;4.9,D13&lt;6,D15=2),AK25,IF(AND(P1=1,B9&gt;59,B9&lt;65,C11&gt;119,C11&lt;140,D13&gt;4.9,D13&lt;6,D15=2),AK26,IF(AND(P1=1,B9&gt;59,B9&lt;65,C11&gt;109,C11&lt;120,D13&gt;4.9,D13&lt;6,D15=2),AK27,IF(AND(P1=1,B9&gt;54,B9&lt;60,C11&gt;159,C11&lt;180,D13&gt;4.9,D13&lt;6,D15=2),AK28,IF(AND(P1=1,B9&gt;54,B9&lt;60,C11&gt;139,C11&lt;160,D13&gt;4.9,D13&lt;6,D15=2),AK29,IF(AND(P1=1,B9&gt;54,B9&lt;60,C11&gt;119,C11&lt;140,D13&gt;4.9,D13&lt;6,D15=2),AK30,IF(AND(P1=1,B9&gt;54,B9&lt;60,C11&gt;109,C11&lt;120,D13&gt;4.9,D13&lt;6,D15=2),AK31,IF(AND(P1=1,B9&gt;49,B9&lt;55,C11&gt;159,C11&lt;180,D13&gt;4.9,D13&lt;6,D15=2),AK32,IF(AND(P1=1,B9&gt;49,B9&lt;55,C11&gt;139,C11&lt;160,D13&gt;4.9,D13&lt;6,D15=2),AK33,IF(AND(P1=1,B9&gt;49,B9&lt;55,C11&gt;119,C11&lt;140,D13&gt;4.9,D13&lt;6,D15=2),AK34,IF(AND(P1=1,B9&gt;49,B9&lt;55,C11&gt;109,C11&lt;120,D13&gt;4.9,D13&lt;6,D15=2),AK35,IF(AND(P1=1,B9&gt;44,B9&lt;50,C11&gt;159,C11&lt;180,D13&gt;4.9,D13&lt;6,D15=2),AK36,IF(AND(P1=1,B9&gt;44,B9&lt;50,C11&gt;139,C11&lt;160,D13&gt;4.9,D13&lt;6,D15=2),AK37,IF(AND(P1=1,B9&gt;44,B9&lt;50,C11&gt;119,C11&lt;140,D13&gt;4.9,D13&lt;6,D15=2),AK38,IF(AND(P1=1,B9&gt;44,B9&lt;50,C11&gt;109,C11&lt;120,D13&gt;4.9,D13&lt;6,D15=2),AK39,IF(AND(P1=1,B9&gt;39,B9&lt;45,C11&gt;159,C11&lt;180,D13&gt;4.9,D13&lt;6,D15=2),AK40,IF(AND(P1=1,B9&gt;39,B9&lt;45,C11&gt;139,C11&lt;160,D13&gt;4.9,D13&lt;6,D15=2),AK41,IF(AND(P1=1,B9&gt;39,B9&lt;45,C11&gt;119,C11&lt;140,D13&gt;4.9,D13&lt;6,D15=2),AK42,IF(AND(P1=1,B9&gt;39,B9&lt;45,C11&gt;109,C11&lt;120,D13&gt;4.9,D13&lt;6,D15=2),AK43,P8))))))))))))))))))))))))))))))))))))))))))))))))</f>
        <v>0</v>
      </c>
      <c r="K24" s="14" t="str">
        <f>IF(J24&gt;0,P7,IF(J24=0,"",""))</f>
        <v/>
      </c>
      <c r="L24" s="6"/>
      <c r="M24" s="35" t="str">
        <f>IF(N24&gt;0,P6,IF(N24="","",""))</f>
        <v/>
      </c>
      <c r="N24" s="2">
        <f>IF(AND(P1=2,B9&gt;64,B9&lt;70,C11&gt;159,C11&lt;180,D13&gt;4.9,D13&lt;6,D15=3),V20,IF(AND(P1=2,B9&gt;64,B9&lt;70,C11&gt;139,C11&lt;160,D13&gt;4.9,D13&lt;6,D15=3),V21,IF(AND(P1=2,B9&gt;64,B9&lt;70,C11&gt;119,C11&lt;140,D13&gt;4.9,D13&lt;6,D15=3),V22,IF(AND(P1=2,B9&gt;64,B9&lt;70,C11&gt;109,C11&lt;120,D13&gt;4.9,D13&lt;6,D15=3),V23,IF(AND(P1=2,B9&gt;59,B9&lt;65,C11&gt;159,C11&lt;180,D13&gt;4.9,D13&lt;6,D15=3),V24,IF(AND(P1=2,B9&gt;59,B9&lt;65,C11&gt;139,C11&lt;160,D13&gt;4.9,D13&lt;6,D15=3),V25,IF(AND(P1=2,B9&gt;59,B9&lt;65,C11&gt;119,C11&lt;140,D13&gt;4.9,D13&lt;6,D15=3),V26,IF(AND(P1=2,B9&gt;59,B9&lt;65,C11&gt;109,C11&lt;120,D13&gt;4.9,D13&lt;6,D15=3),V27,IF(AND(P1=2,B9&gt;54,B9&lt;60,C11&gt;159,C11&lt;180,D13&gt;4.9,D13&lt;6,D15=3),V28,IF(AND(P1=2,B9&gt;54,B9&lt;60,C11&gt;139,C11&lt;160,D13&gt;4.9,D13&lt;6,D15=3),V29,IF(AND(P1=2,B9&gt;54,B9&lt;60,C11&gt;119,C11&lt;140,D13&gt;4.9,D13&lt;6,D15=3),V30,IF(AND(P1=2,B9&gt;54,B9&lt;60,C11&gt;109,C11&lt;120,D13&gt;4.9,D13&lt;6,D15=3),V31,IF(AND(P1=2,B9&gt;49,B9&lt;55,C11&gt;159,C11&lt;180,D13&gt;4.9,D13&lt;6,D15=3),V32,IF(AND(P1=2,B9&gt;49,B9&lt;55,C11&gt;139,C11&lt;160,D13&gt;4.9,D13&lt;6,D15=3),V33,IF(AND(P1=2,B9&gt;49,B9&lt;55,C11&gt;119,C11&lt;140,D13&gt;4.9,D13&lt;6,D15=3),V34,IF(AND(P1=2,B9&gt;49,B9&lt;55,C11&gt;109,C11&lt;120,D13&gt;4.9,D13&lt;6,D15=3),V35,IF(AND(P1=2,B9&gt;44,B9&lt;50,C11&gt;159,C11&lt;180,D13&gt;4.9,D13&lt;6,D15=3),V36,IF(AND(P1=2,B9&gt;44,B9&lt;50,C11&gt;139,C11&lt;160,D13&gt;4.9,D13&lt;6,D15=3),V37,IF(AND(P1=2,B9&gt;44,B9&lt;50,C11&gt;119,C11&lt;140,D13&gt;4.9,D13&lt;6,D15=3),V38,IF(AND(P1=2,B9&gt;44,B9&lt;50,C11&gt;109,C11&lt;120,D13&gt;4.9,D13&lt;6,D15=3),V39,IF(AND(P1=2,B9&gt;39,B9&lt;45,C11&gt;159,C11&lt;180,D13&gt;4.9,D13&lt;6,D15=3),V40,IF(AND(P1=2,B9&gt;39,B9&lt;45,C11&gt;139,C11&lt;160,D13&gt;4.9,D13&lt;6,D15=3),V41,IF(AND(P1=2,B9&gt;39,B9&lt;45,C11&gt;119,C11&lt;140,D13&gt;4.9,D13&lt;6,D15=3),V42,IF(AND(P1=2,B9&gt;39,B9&lt;45,C11&gt;109,C11&lt;120,D13&gt;4.9,D13&lt;6,D15=3),V43,IF(AND(P1=2,B9&gt;64,B9&lt;70,C11&gt;159,C11&lt;180,D13&gt;4.9,D13&lt;6,D15=2),Z20,IF(AND(P1=2,B9&gt;64,B9&lt;70,C11&gt;139,C11&lt;160,D13&gt;4.9,D13&lt;6,D15=2),Z21,IF(AND(P1=2,B9&gt;64,B9&lt;70,C11&gt;119,C11&lt;140,D13&gt;4.9,D13&lt;6,D15=2),Z22,IF(AND(P1=2,B9&gt;64,B9&lt;70,C11&gt;109,C11&lt;120,D13&gt;4.9,D13&lt;6,D15=2),Z23,IF(AND(P1=2,B9&gt;59,B9&lt;65,C11&gt;159,C11&lt;180,D13&gt;4.9,D13&lt;6,D15=2),Z24,IF(AND(P1=2,B9&gt;59,B9&lt;65,C11&gt;139,C11&lt;160,D13&gt;4.9,D13&lt;6,D15=2),Z25,IF(AND(P1=2,B9&gt;59,B9&lt;65,C11&gt;119,C11&lt;140,D13&gt;4.9,D13&lt;6,D15=2),Z26,IF(AND(P1=2,B9&gt;59,B9&lt;65,C11&gt;109,C11&lt;120,D13&gt;4.9,D13&lt;6,D15=2),Z27,IF(AND(P1=2,B9&gt;54,B9&lt;60,C11&gt;159,C11&lt;180,D13&gt;4.9,D13&lt;6,D15=2),Z28,IF(AND(P1=2,B9&gt;54,B9&lt;60,C11&gt;139,C11&lt;160,D13&gt;4.9,D13&lt;6,D15=2),Z29,IF(AND(P1=2,B9&gt;54,B9&lt;60,C11&gt;119,C11&lt;140,D13&gt;4.9,D13&lt;6,D15=2),Z30,IF(AND(P1=2,B9&gt;54,B9&lt;60,C11&gt;109,C11&lt;120,D13&gt;4.9,D13&lt;6,D15=2),Z31,IF(AND(P1=2,B9&gt;49,B9&lt;55,C11&gt;159,C11&lt;180,D13&gt;4.9,D13&lt;6,D15=2),Z32,IF(AND(P1=2,B9&gt;49,B9&lt;55,C11&gt;139,C11&lt;160,D13&gt;4.9,D13&lt;6,D15=2),Z33,IF(AND(P1=2,B9&gt;49,B9&lt;55,C11&gt;119,C11&lt;140,D13&gt;4.9,D13&lt;6,D15=2),Z34,IF(AND(P1=2,B9&gt;49,B9&lt;55,C11&gt;109,C11&lt;120,D13&gt;4.9,D13&lt;6,D15=2),Z35,IF(AND(P1=2,B9&gt;44,B9&lt;50,C11&gt;159,C11&lt;180,D13&gt;4.9,D13&lt;6,D15=2),Z36,IF(AND(P1=2,B9&gt;44,B9&lt;50,C11&gt;139,C11&lt;160,D13&gt;4.9,D13&lt;6,D15=2),Z37,IF(AND(P1=2,B9&gt;44,B9&lt;50,C11&gt;119,C11&lt;140,D13&gt;4.9,D13&lt;6,D15=2),Z38,IF(AND(P1=2,B9&gt;44,B9&lt;50,C11&gt;109,C11&lt;120,D13&gt;4.9,D13&lt;6,D15=2),Z39,IF(AND(P1=2,B9&gt;39,B9&lt;45,C11&gt;159,C11&lt;180,D13&gt;4.9,D13&lt;6,D15=2),Z40,IF(AND(P1=2,B9&gt;39,B9&lt;45,C11&gt;139,C11&lt;160,D13&gt;4.9,D13&lt;6,D15=2),Z41,IF(AND(P1=2,B9&gt;39,B9&lt;45,C11&gt;119,C11&lt;140,D13&gt;4.9,D13&lt;6,D15=2),Z42,IF(AND(P1=2,B9&gt;39,B9&lt;45,C11&gt;109,C11&lt;120,D13&gt;4.9,D13&lt;6,D15=2),Z43,P8))))))))))))))))))))))))))))))))))))))))))))))))</f>
        <v>0</v>
      </c>
      <c r="R24" s="233" t="s">
        <v>100</v>
      </c>
      <c r="S24" s="36" t="s">
        <v>87</v>
      </c>
      <c r="T24" s="22">
        <v>20</v>
      </c>
      <c r="U24" s="23">
        <v>21</v>
      </c>
      <c r="V24" s="23">
        <v>22</v>
      </c>
      <c r="W24" s="24">
        <v>24</v>
      </c>
      <c r="X24" s="22">
        <v>33</v>
      </c>
      <c r="Y24" s="23">
        <v>35</v>
      </c>
      <c r="Z24" s="23">
        <v>37</v>
      </c>
      <c r="AA24" s="24">
        <v>39</v>
      </c>
      <c r="AC24" s="233" t="s">
        <v>100</v>
      </c>
      <c r="AD24" s="36" t="s">
        <v>87</v>
      </c>
      <c r="AE24" s="22">
        <v>20</v>
      </c>
      <c r="AF24" s="23">
        <v>23</v>
      </c>
      <c r="AG24" s="23">
        <v>25</v>
      </c>
      <c r="AH24" s="24">
        <v>27</v>
      </c>
      <c r="AI24" s="22">
        <v>31</v>
      </c>
      <c r="AJ24" s="23">
        <v>33</v>
      </c>
      <c r="AK24" s="23">
        <v>36</v>
      </c>
      <c r="AL24" s="24">
        <v>40</v>
      </c>
    </row>
    <row r="25" spans="1:38" ht="14.5" customHeight="1" x14ac:dyDescent="0.35">
      <c r="A25" s="41"/>
      <c r="B25" s="41"/>
      <c r="C25" s="41"/>
      <c r="D25" s="41"/>
      <c r="E25" s="41"/>
      <c r="F25" s="41"/>
      <c r="G25" s="41"/>
      <c r="H25" s="41"/>
      <c r="K25" s="14"/>
      <c r="L25" s="6"/>
      <c r="R25" s="234"/>
      <c r="S25" s="37" t="s">
        <v>89</v>
      </c>
      <c r="T25" s="26">
        <v>16</v>
      </c>
      <c r="U25" s="27">
        <v>17</v>
      </c>
      <c r="V25" s="27">
        <v>18</v>
      </c>
      <c r="W25" s="28">
        <v>19</v>
      </c>
      <c r="X25" s="26">
        <v>27</v>
      </c>
      <c r="Y25" s="27">
        <v>29</v>
      </c>
      <c r="Z25" s="27">
        <v>30</v>
      </c>
      <c r="AA25" s="28">
        <v>32</v>
      </c>
      <c r="AC25" s="234"/>
      <c r="AD25" s="37" t="s">
        <v>89</v>
      </c>
      <c r="AE25" s="26">
        <v>17</v>
      </c>
      <c r="AF25" s="27">
        <v>19</v>
      </c>
      <c r="AG25" s="27">
        <v>20</v>
      </c>
      <c r="AH25" s="28">
        <v>22</v>
      </c>
      <c r="AI25" s="26">
        <v>25</v>
      </c>
      <c r="AJ25" s="27">
        <v>28</v>
      </c>
      <c r="AK25" s="27">
        <v>31</v>
      </c>
      <c r="AL25" s="28">
        <v>33</v>
      </c>
    </row>
    <row r="26" spans="1:38" x14ac:dyDescent="0.35">
      <c r="A26" s="200" t="str">
        <f>IF(AND(B9&gt;0,C11&gt;0,D13&gt;0,D15&gt;1),"მეორე ეტაპი","")</f>
        <v/>
      </c>
      <c r="B26" s="200"/>
      <c r="C26" s="41"/>
      <c r="D26" s="41"/>
      <c r="E26" s="41"/>
      <c r="F26" s="41"/>
      <c r="G26" s="41"/>
      <c r="H26" s="41"/>
      <c r="J26" s="2">
        <f>IF(AND(P1=1,B9&gt;64,B9&lt;70,C11&gt;159,C11&lt;180,D13&gt;5.9,D13&lt;7,D15=3),AH20,IF(AND(P1=1,B9&gt;64,B9&lt;70,C11&gt;139,C11&lt;160,D13&gt;5.9,D13&lt;7,D15=3),AH21,IF(AND(P1=1,B9&gt;64,B9&lt;70,C11&gt;119,C11&lt;140,D13&gt;5.9,D13&lt;7,D15=3),AH22,IF(AND(P1=1,B9&gt;64,B9&lt;70,C11&gt;109,C11&lt;120,D13&gt;5.9,D13&lt;7,D15=3),AH23,IF(AND(P1=1,B9&gt;59,B9&lt;65,C11&gt;159,C11&lt;180,D13&gt;5.9,D13&lt;7,D15=3),AH24,IF(AND(P1=1,B9&gt;59,B9&lt;65,C11&gt;139,C11&lt;160,D13&gt;5.9,D13&lt;7,D15=3),AH25,IF(AND(P1=1,B9&gt;59,B9&lt;65,C11&gt;119,C11&lt;140,D13&gt;5.9,D13&lt;7,D15=3),AH26,IF(AND(P1=1,B9&gt;59,B9&lt;65,C11&gt;109,C11&lt;120,D13&gt;5.9,D13&lt;7,D15=3),AH27,IF(AND(P1=1,B9&gt;54,B9&lt;60,C11&gt;159,C11&lt;180,D13&gt;5.9,D13&lt;7,D15=3),AH28,IF(AND(P1=1,B9&gt;54,B9&lt;60,C11&gt;139,C11&lt;160,D13&gt;5.9,D13&lt;7,D15=3),AH29,IF(AND(P1=1,B9&gt;54,B9&lt;60,C11&gt;119,C11&lt;140,D13&gt;5.9,D13&lt;7,D15=3),AH30,IF(AND(P1=1,B9&gt;54,B9&lt;60,C11&gt;109,C11&lt;120,D13&gt;5.9,D13&lt;7,D15=3),AH31,IF(AND(P1=1,B9&gt;49,B9&lt;55,C11&gt;159,C11&lt;180,D13&gt;5.9,D13&lt;7,D15=3),AH32,IF(AND(P1=1,B9&gt;49,B9&lt;55,C11&gt;139,C11&lt;160,D13&gt;5.9,D13&lt;7,D15=3),AH33,IF(AND(P1=1,B9&gt;49,B9&lt;55,C11&gt;119,C11&lt;140,D13&gt;5.9,D13&lt;7,D15=3),AH34,IF(AND(P1=1,B9&gt;49,B9&lt;55,C11&gt;109,C11&lt;120,D13&gt;5.9,D13&lt;7,D15=3),AH35,IF(AND(P1=1,B9&gt;44,B9&lt;50,C11&gt;159,C11&lt;180,D13&gt;5.9,D13&lt;7,D15=3),AH36,IF(AND(P1=1,B9&gt;44,B9&lt;50,C11&gt;139,C11&lt;160,D13&gt;5.9,D13&lt;7,D15=3),AH37,IF(AND(P1=1,B9&gt;44,B9&lt;50,C11&gt;119,C11&lt;140,D13&gt;5.9,D13&lt;7,D15=3),AH38,IF(AND(P1=1,B9&gt;44,B9&lt;50,C11&gt;109,C11&lt;120,D13&gt;5.9,D13&lt;7,D15=3),AH39,IF(AND(P1=1,B9&gt;39,B9&lt;45,C11&gt;159,C11&lt;180,D13&gt;5.9,D13&lt;7,D15=3),AH40,IF(AND(P1=1,B9&gt;39,B9&lt;45,C11&gt;139,C11&lt;160,D13&gt;5.9,D13&lt;7,D15=3),AH41,IF(AND(P1=1,B9&gt;39,B9&lt;45,C11&gt;119,C11&lt;140,D13&gt;5.9,D13&lt;7,D15=3),AH42,IF(AND(P1=1,B9&gt;39,B9&lt;45,C11&gt;109,C11&lt;120,D13&gt;5.9,D13&lt;7,D15=3),AH43,IF(AND(P1=1,B9&gt;64,B9&lt;70,C11&gt;159,C11&lt;180,D13&gt;5.9,D13&lt;7,D15=2),AL20,IF(AND(P1=1,B9&gt;64,B9&lt;70,C11&gt;139,C11&lt;160,D13&gt;5.9,D13&lt;7,D15=2),AL21,IF(AND(P1=1,B9&gt;64,B9&lt;70,C11&gt;119,C11&lt;140,D13&gt;5.9,D13&lt;7,D15=2),AL22,IF(AND(P1=1,B9&gt;64,B9&lt;70,C11&gt;109,C11&lt;120,D13&gt;5.9,D13&lt;7,D15=2),AL23,IF(AND(P1=1,B9&gt;59,B9&lt;65,C11&gt;159,C11&lt;180,D13&gt;5.9,D13&lt;7,D15=2),AL24,IF(AND(P1=1,B9&gt;59,B9&lt;65,C11&gt;139,C11&lt;160,D13&gt;5.9,D13&lt;7,D15=2),AL25,IF(AND(P1=1,B9&gt;59,B9&lt;65,C11&gt;119,C11&lt;140,D13&gt;5.9,D13&lt;7,D15=2),AL26,IF(AND(P1=1,B9&gt;59,B9&lt;65,C11&gt;109,C11&lt;120,D13&gt;5.9,D13&lt;7,D15=2),AL27,IF(AND(P1=1,B9&gt;54,B9&lt;60,C11&gt;159,C11&lt;180,D13&gt;5.9,D13&lt;7,D15=2),AL28,IF(AND(P1=1,B9&gt;54,B9&lt;60,C11&gt;139,C11&lt;160,D13&gt;5.9,D13&lt;7,D15=2),AL29,IF(AND(P1=1,B9&gt;54,B9&lt;60,C11&gt;119,C11&lt;140,D13&gt;5.9,D13&lt;7,D15=2),AL30,IF(AND(P1=1,B9&gt;54,B9&lt;60,C11&gt;109,C11&lt;120,D13&gt;5.9,D13&lt;7,D15=2),AL31,IF(AND(P1=1,B9&gt;49,B9&lt;55,C11&gt;159,C11&lt;180,D13&gt;5.9,D13&lt;7,D15=2),AL32,IF(AND(P1=1,B9&gt;49,B9&lt;55,C11&gt;139,C11&lt;160,D13&gt;5.9,D13&lt;7,D15=2),AL33,IF(AND(P1=1,B9&gt;49,B9&lt;55,C11&gt;119,C11&lt;140,D13&gt;5.9,D13&lt;7,D15=2),AL34,IF(AND(P1=1,B9&gt;49,B9&lt;55,C11&gt;109,C11&lt;120,D13&gt;5.9,D13&lt;7,D15=2),AL35,IF(AND(P1=1,B9&gt;44,B9&lt;50,C11&gt;159,C11&lt;180,D13&gt;5.9,D13&lt;7,D15=2),AL36,IF(AND(P1=1,B9&gt;44,B9&lt;50,C11&gt;139,C11&lt;160,D13&gt;5.9,D13&lt;7,D15=2),AL37,IF(AND(P1=1,B9&gt;44,B9&lt;50,C11&gt;119,C11&lt;140,D13&gt;5.9,D13&lt;7,D15=2),AL38,IF(AND(P1=1,B9&gt;44,B9&lt;50,C11&gt;109,C11&lt;120,D13&gt;5.9,D13&lt;7,D15=2),AL39,IF(AND(P1=1,B9&gt;39,B9&lt;45,C11&gt;159,C11&lt;180,D13&gt;5.9,D13&lt;7,D15=2),AL40,IF(AND(P1=1,B9&gt;39,B9&lt;45,C11&gt;139,C11&lt;160,D13&gt;5.9,D13&lt;7,D15=2),AL41,IF(AND(P1=1,B9&gt;39,B9&lt;45,C11&gt;119,C11&lt;140,D13&gt;5.9,D13&lt;7,D15=2),AL42,IF(AND(P1=1,B9&gt;39,B9&lt;45,C11&gt;109,C11&lt;120,D13&gt;5.9,D13&lt;7,D15=2),AL43,P8))))))))))))))))))))))))))))))))))))))))))))))))</f>
        <v>0</v>
      </c>
      <c r="K26" s="14" t="str">
        <f>IF(J26&gt;0,P7,IF(J26=0,"",""))</f>
        <v/>
      </c>
      <c r="L26" s="6"/>
      <c r="M26" s="35" t="str">
        <f>IF(N26&gt;0,P6,IF(N26="","",""))</f>
        <v/>
      </c>
      <c r="N26" s="2">
        <f>IF(AND(P1=2,B9&gt;64,B9&lt;70,C11&gt;159,C11&lt;180,D13&gt;5.9,D13&lt;7,D15=3),W20,IF(AND(P1=2,B9&gt;64,B9&lt;70,C11&gt;139,C11&lt;160,D13&gt;5.9,D13&lt;7,D15=3),W21,IF(AND(P1=2,B9&gt;64,B9&lt;70,C11&gt;119,C11&lt;140,D13&gt;5.9,D13&lt;7,D15=3),W22,IF(AND(P1=2,B9&gt;64,B9&lt;70,C11&gt;109,C11&lt;120,D13&gt;5.9,D13&lt;7,D15=3),W23,IF(AND(P1=2,B9&gt;59,B9&lt;65,C11&gt;159,C11&lt;180,D13&gt;5.9,D13&lt;7,D15=3),W24,IF(AND(P1=2,B9&gt;59,B9&lt;65,C11&gt;139,C11&lt;160,D13&gt;5.9,D13&lt;7,D15=3),W25,IF(AND(P1=2,B9&gt;59,B9&lt;65,C11&gt;119,C11&lt;140,D13&gt;5.9,D13&lt;7,D15=3),W26,IF(AND(P1=2,B9&gt;59,B9&lt;65,C11&gt;109,C11&lt;120,D13&gt;5.9,D13&lt;7,D15=3),W27,IF(AND(P1=2,B9&gt;54,B9&lt;60,C11&gt;159,C11&lt;180,D13&gt;5.9,D13&lt;7,D15=3),W28,IF(AND(P1=2,B9&gt;54,B9&lt;60,C11&gt;139,C11&lt;160,D13&gt;5.9,D13&lt;7,D15=3),W29,IF(AND(P1=2,B9&gt;54,B9&lt;60,C11&gt;119,C11&lt;140,D13&gt;5.9,D13&lt;7,D15=3),W30,IF(AND(P1=2,B9&gt;54,B9&lt;60,C11&gt;109,C11&lt;120,D13&gt;5.9,D13&lt;7,D15=3),W31,IF(AND(P1=2,B9&gt;49,B9&lt;55,C11&gt;159,C11&lt;180,D13&gt;5.9,D13&lt;7,D15=3),W32,IF(AND(P1=2,B9&gt;49,B9&lt;55,C11&gt;139,C11&lt;160,D13&gt;5.9,D13&lt;7,D15=3),W33,IF(AND(P1=2,B9&gt;49,B9&lt;55,C11&gt;119,C11&lt;140,D13&gt;5.9,D13&lt;7,D15=3),W34,IF(AND(P1=2,B9&gt;49,B9&lt;55,C11&gt;109,C11&lt;120,D13&gt;5.9,D13&lt;7,D15=3),W35,IF(AND(P1=2,B9&gt;44,B9&lt;50,C11&gt;159,C11&lt;180,D13&gt;5.9,D13&lt;7,D15=3),W36,IF(AND(P1=2,B9&gt;44,B9&lt;50,C11&gt;139,C11&lt;160,D13&gt;5.9,D13&lt;7,D15=3),W37,IF(AND(P1=2,B9&gt;44,B9&lt;50,C11&gt;119,C11&lt;140,D13&gt;5.9,D13&lt;7,D15=3),W38,IF(AND(P1=2,B9&gt;44,B9&lt;50,C11&gt;109,C11&lt;120,D13&gt;5.9,D13&lt;7,D15=3),W39,IF(AND(P1=2,B9&gt;39,B9&lt;45,C11&gt;159,C11&lt;180,D13&gt;5.9,D13&lt;7,D15=3),W40,IF(AND(P1=2,B9&gt;39,B9&lt;45,C11&gt;139,C11&lt;160,D13&gt;5.9,D13&lt;7,D15=3),W41,IF(AND(P1=2,B9&gt;39,B9&lt;45,C11&gt;119,C11&lt;140,D13&gt;5.9,D13&lt;7,D15=3),W42,IF(AND(P1=2,B9&gt;39,B9&lt;45,C11&gt;109,C11&lt;120,D13&gt;5.9,D13&lt;7,D15=3),W43,IF(AND(P1=2,B9&gt;64,B9&lt;70,C11&gt;159,C11&lt;180,D13&gt;5.9,D13&lt;7,D15=2),AA20,IF(AND(P1=2,B9&gt;64,B9&lt;70,C11&gt;139,C11&lt;160,D13&gt;5.9,D13&lt;7,D15=2),AA21,IF(AND(P1=2,B9&gt;64,B9&lt;70,C11&gt;119,C11&lt;140,D13&gt;5.9,D13&lt;7,D15=2),AA22,IF(AND(P1=2,B9&gt;64,B9&lt;70,C11&gt;109,C11&lt;120,D13&gt;5.9,D13&lt;7,D15=2),AA23,IF(AND(P1=2,B9&gt;59,B9&lt;65,C11&gt;159,C11&lt;180,D13&gt;5.9,D13&lt;7,D15=2),AA24,IF(AND(P1=2,B9&gt;59,B9&lt;65,C11&gt;139,C11&lt;160,D13&gt;5.9,D13&lt;7,D15=2),AA25,IF(AND(P1=2,B9&gt;59,B9&lt;65,C11&gt;119,C11&lt;140,D13&gt;5.9,D13&lt;7,D15=2),AA26,IF(AND(P1=2,B9&gt;59,B9&lt;65,C11&gt;109,C11&lt;120,D13&gt;5.9,D13&lt;7,D15=2),AA27,IF(AND(P1=2,B9&gt;54,B9&lt;60,C11&gt;159,C11&lt;180,D13&gt;5.9,D13&lt;7,D15=2),AA28,IF(AND(P1=2,B9&gt;54,B9&lt;60,C11&gt;139,C11&lt;160,D13&gt;5.9,D13&lt;7,D15=2),AA29,IF(AND(P1=2,B9&gt;54,B9&lt;60,C11&gt;119,C11&lt;140,D13&gt;5.9,D13&lt;7,D15=2),AA30,IF(AND(P1=2,B9&gt;54,B9&lt;60,C11&gt;109,C11&lt;120,D13&gt;5.9,D13&lt;7,D15=2),AA31,IF(AND(P1=2,B9&gt;49,B9&lt;55,C11&gt;159,C11&lt;180,D13&gt;5.9,D13&lt;7,D15=2),AA32,IF(AND(P1=2,B9&gt;49,B9&lt;55,C11&gt;139,C11&lt;160,D13&gt;5.9,D13&lt;7,D15=2),AA33,IF(AND(P1=2,B9&gt;49,B9&lt;55,C11&gt;119,C11&lt;140,D13&gt;5.9,D13&lt;7,D15=2),AA34,IF(AND(P1=2,B9&gt;49,B9&lt;55,C11&gt;109,C11&lt;120,D13&gt;5.9,D13&lt;7,D15=2),AA35,IF(AND(P1=2,B9&gt;44,B9&lt;50,C11&gt;159,C11&lt;180,D13&gt;5.9,D13&lt;7,D15=2),AA36,IF(AND(P1=2,B9&gt;44,B9&lt;50,C11&gt;139,C11&lt;160,D13&gt;5.9,D13&lt;7,D15=2),AA37,IF(AND(P1=2,B9&gt;44,B9&lt;50,C11&gt;119,C11&lt;140,D13&gt;5.9,D13&lt;7,D15=2),AA38,IF(AND(P1=2,B9&gt;44,B9&lt;50,C11&gt;109,C11&lt;120,D13&gt;5.9,D13&lt;7,D15=2),AA39,IF(AND(P1=2,B9&gt;39,B9&lt;45,C11&gt;159,C11&lt;180,D13&gt;5.9,D13&lt;7,D15=2),AA40,IF(AND(P1=2,B9&gt;39,B9&lt;45,C11&gt;139,C11&lt;160,D13&gt;5.9,D13&lt;7,D15=2),AA41,IF(AND(P1=2,B9&gt;39,B9&lt;45,C11&gt;119,C11&lt;140,D13&gt;5.9,D13&lt;7,D15=2),AA42,IF(AND(P1=2,B9&gt;39,B9&lt;45,C11&gt;109,C11&lt;120,D13&gt;5.9,D13&lt;7,D15=2),AA43,P8))))))))))))))))))))))))))))))))))))))))))))))))</f>
        <v>0</v>
      </c>
      <c r="R26" s="234"/>
      <c r="S26" s="37" t="s">
        <v>90</v>
      </c>
      <c r="T26" s="26">
        <v>12</v>
      </c>
      <c r="U26" s="27">
        <v>13</v>
      </c>
      <c r="V26" s="27">
        <v>14</v>
      </c>
      <c r="W26" s="28">
        <v>15</v>
      </c>
      <c r="X26" s="26">
        <v>22</v>
      </c>
      <c r="Y26" s="27">
        <v>23</v>
      </c>
      <c r="Z26" s="27">
        <v>25</v>
      </c>
      <c r="AA26" s="28">
        <v>26</v>
      </c>
      <c r="AC26" s="234"/>
      <c r="AD26" s="37" t="s">
        <v>90</v>
      </c>
      <c r="AE26" s="26">
        <v>14</v>
      </c>
      <c r="AF26" s="27">
        <v>15</v>
      </c>
      <c r="AG26" s="27">
        <v>17</v>
      </c>
      <c r="AH26" s="28">
        <v>18</v>
      </c>
      <c r="AI26" s="26">
        <v>21</v>
      </c>
      <c r="AJ26" s="27">
        <v>23</v>
      </c>
      <c r="AK26" s="27">
        <v>25</v>
      </c>
      <c r="AL26" s="28">
        <v>28</v>
      </c>
    </row>
    <row r="27" spans="1:38" ht="15" thickBot="1" x14ac:dyDescent="0.4">
      <c r="A27" s="200" t="e">
        <f>IF(AND(B9&lt;50,N20&gt;0,N20&lt;7.5),P49,IF(AND(B9&lt;50,N22&gt;0,N22&lt;7.5),P49,IF(AND(B9&lt;50,N24&gt;0,N24&lt;7.5),P49,IF(AND(B9&lt;50,N26&gt;0,N26&lt;7.5),P49,IF(AND(B9&lt;50,J20&gt;0,J20&lt;7.5),P49,IF(AND(B9&lt;50,J22&gt;0,J22&lt;7.5),P49,IF(AND(B9&lt;50,J24&gt;0,J24&lt;7.5),P49,IF(AND(B9&lt;50,J26&gt;0,J26&lt;7.5),P49,IF(AND(B9&lt;50,J20&gt;0,J20&lt;7.5),P49,IF(AND(B9&gt;49,B9&lt;70,N20&gt;0,N20&lt;10),P49,IF(AND(B9&gt;49,B9&lt;70,N22&gt;0,N22&lt;10),P49,IF(AND(B9&gt;49,B9&lt;70,N24&gt;0,N24&lt;10),P49,IF(AND(B9&gt;49,B9&lt;70,N26&gt;0,N26&lt;10),P49,IF(AND(B9&gt;49,B9&lt;70,J20&gt;0,J20&lt;10),P49,IF(AND(B9&gt;49,B9&lt;70,J22&gt;0,J22&lt;10),P49,IF(AND(B9&gt;49,B9&lt;70,J24&gt;0,J24&lt;10),P49,IF(AND(B9&gt;49,B9&lt;70,J26&gt;0,J26&lt;10),P49,IF(AND(B9&gt;49,B9&lt;70,J20&gt;0,J20&lt;10),P49,IF(AND(B9&gt;49,B9&lt;70,N20&gt;9.9),P49,IF(AND(B9&gt;49,B9&lt;70,N22&gt;9.9),P49,IF(AND(B9&gt;49,B9&lt;70,N24&gt;9.9),P49,IF(AND(B9&gt;49,B9&lt;70,N26&gt;9.9),P49,IF(AND(B9&gt;49,B9&lt;70,J20&gt;9.9),P49,IF(AND(B9&gt;49,B9&lt;70,J22&gt;9.9),P49,IF(AND(B9&gt;49,B9&lt;70,J24&gt;9.9),P49,IF(AND(B9&gt;49,B9&lt;70,J26&gt;9.9),P49,IF(AND(B9&gt;69,N7&lt;7.5),P53,IF(AND(B9&gt;69,N9&lt;7.5),P53,IF(AND(B9&gt;69,N11&lt;7.5),P53,IF(AND(B9&gt;69,N13&lt;7.5),P53,IF(AND(B9&gt;69,J7&lt;7.5),P53,IF(AND(B9&gt;69,J9&lt;7.5),P53,IF(AND(B9&gt;69,J11&lt;7.5),P53,IF(AND(B9&gt;69,J13&lt;7.5),P53,IF(AND(B9&lt;50,N20&gt;7.4),P49,IF(AND(B9&lt;50,N22&gt;7.4),P49,IF(AND(B9&lt;50,N24&gt;7.4),P49,IF(AND(B9&lt;50,N26&gt;7.4),P49,IF(AND(B9&lt;50,J20&gt;7.4),P49,IF(AND(B9&lt;50,J22&gt;7.4),P49,IF(AND(B9&lt;50,J24&gt;7.4),P49,IF(AND(B9&lt;50,J26&gt;7.4),P49,””))))))))))))))))))))))))))))))))))))))))))</f>
        <v>#NAME?</v>
      </c>
      <c r="B27" s="200"/>
      <c r="C27" s="200"/>
      <c r="D27" s="200"/>
      <c r="E27" s="200"/>
      <c r="F27" s="200"/>
      <c r="G27" s="200"/>
      <c r="H27" s="200"/>
      <c r="L27" s="6"/>
      <c r="R27" s="234"/>
      <c r="S27" s="42" t="s">
        <v>92</v>
      </c>
      <c r="T27" s="43">
        <v>10</v>
      </c>
      <c r="U27" s="44">
        <v>11</v>
      </c>
      <c r="V27" s="44">
        <v>11</v>
      </c>
      <c r="W27" s="45">
        <v>12</v>
      </c>
      <c r="X27" s="43">
        <v>17</v>
      </c>
      <c r="Y27" s="44">
        <v>18</v>
      </c>
      <c r="Z27" s="44">
        <v>20</v>
      </c>
      <c r="AA27" s="45">
        <v>21</v>
      </c>
      <c r="AC27" s="234"/>
      <c r="AD27" s="42" t="s">
        <v>92</v>
      </c>
      <c r="AE27" s="43">
        <v>11</v>
      </c>
      <c r="AF27" s="44">
        <v>12</v>
      </c>
      <c r="AG27" s="44">
        <v>14</v>
      </c>
      <c r="AH27" s="45">
        <v>15</v>
      </c>
      <c r="AI27" s="43">
        <v>17</v>
      </c>
      <c r="AJ27" s="44">
        <v>19</v>
      </c>
      <c r="AK27" s="44">
        <v>21</v>
      </c>
      <c r="AL27" s="45">
        <v>23</v>
      </c>
    </row>
    <row r="28" spans="1:38" x14ac:dyDescent="0.35">
      <c r="A28" s="200"/>
      <c r="B28" s="200"/>
      <c r="C28" s="200"/>
      <c r="D28" s="200"/>
      <c r="E28" s="200"/>
      <c r="F28" s="200"/>
      <c r="G28" s="200"/>
      <c r="H28" s="200"/>
      <c r="L28" s="6"/>
      <c r="R28" s="236" t="s">
        <v>101</v>
      </c>
      <c r="S28" s="46" t="s">
        <v>87</v>
      </c>
      <c r="T28" s="22">
        <v>14</v>
      </c>
      <c r="U28" s="23">
        <v>15</v>
      </c>
      <c r="V28" s="23">
        <v>17</v>
      </c>
      <c r="W28" s="24">
        <v>18</v>
      </c>
      <c r="X28" s="47">
        <v>26</v>
      </c>
      <c r="Y28" s="23">
        <v>28</v>
      </c>
      <c r="Z28" s="23">
        <v>31</v>
      </c>
      <c r="AA28" s="24">
        <v>33</v>
      </c>
      <c r="AC28" s="236" t="s">
        <v>101</v>
      </c>
      <c r="AD28" s="46" t="s">
        <v>87</v>
      </c>
      <c r="AE28" s="22">
        <v>16</v>
      </c>
      <c r="AF28" s="23">
        <v>18</v>
      </c>
      <c r="AG28" s="23">
        <v>20</v>
      </c>
      <c r="AH28" s="24">
        <v>23</v>
      </c>
      <c r="AI28" s="22">
        <v>25</v>
      </c>
      <c r="AJ28" s="23">
        <v>28</v>
      </c>
      <c r="AK28" s="23">
        <v>32</v>
      </c>
      <c r="AL28" s="24">
        <v>35</v>
      </c>
    </row>
    <row r="29" spans="1:38" x14ac:dyDescent="0.35">
      <c r="A29" s="200" t="str">
        <f>IF(AND(B9&gt;49,B9&lt;70,N20&gt;0,N20&lt;10),P50,IF(AND(B9&gt;49,B9&lt;70,N22&gt;0,N22&lt;10),P50,IF(AND(B9&gt;49,B9&lt;70,N24&gt;0,N24&lt;10),P50,IF(AND(B9&gt;49,B9&lt;70,N26&gt;0,N26&lt;10),P50,IF(AND(B9&gt;49,B9&lt;70,J20&gt;0,J20&lt;10),P50,IF(AND(B9&gt;49,B9&lt;70,J22&gt;0,J22&lt;10),P50,IF(AND(B9&gt;49,B9&lt;70,J24&gt;0,J24&lt;10),P50,IF(AND(B9&gt;49,B9&lt;70,J26&gt;0,J26&lt;10),P50,IF(AND(B9&gt;49,B9&lt;70,J20&gt;0,J20&lt;10),P50,IF(AND(B9&gt;49,B9&lt;70,N20&gt;9.9),P51,IF(AND(B9&gt;49,B9&lt;70,N22&gt;9.9),P51,IF(AND(B9&gt;49,B9&lt;70,N24&gt;9.9),P51,IF(AND(B9&gt;49,B9&lt;70,N26&gt;9.9),P51,IF(AND(B9&gt;49,B9&lt;70,J20&gt;9.9),P51,IF(AND(B9&gt;49,B9&lt;70,J22&gt;9.9),P51,IF(AND(B9&gt;49,B9&lt;70,J24&gt;9.9),P51,IF(AND(B9&gt;49,B9&lt;70,J26&gt;9.9),P51,IF(AND(B9&lt;50,N20&gt;2.4,N20&lt;7.5),P50,IF(AND(B9&lt;50,N22&gt;2.4,N22&lt;7.5),P50,IF(AND(B9&lt;50,N24&gt;2.4,N24&lt;7.5),P50,IF(AND(B9&lt;50,N26&gt;2.4,N26&lt;7.5),P50,IF(AND(B9&lt;50,J20&gt;2.4,J20&lt;7.5),P50,IF(AND(B9&lt;50,J22&gt;2.4,J22&lt;7.5),P50,IF(AND(B9&lt;50,J24&gt;2.4,J24&lt;7.5),P50,IF(AND(B9&lt;50,J26&gt;2.4,J26&lt;7.5),P50,IF(AND(B9&lt;50,N20&gt;0,N20&lt;7.4),P51,IF(AND(B9&lt;50,N22&gt;0,N22&lt;7.4),P51,IF(AND(B9&lt;50,N24&gt;0,N24&lt;7.4),P51,IF(AND(B9&lt;50,N26&gt;0,N26&gt;7.4),P51,IF(AND(B9&lt;50,J20&gt;0,J20&gt;7.4),P51,IF(AND(B9&lt;50,J22&gt;0,J22&gt;7.4),P51,IF(AND(B9&lt;50,J24&gt;0,J24&gt;7.4),P51,IF(AND(B9&lt;50,J26&gt;0,J26&gt;7.4),P51,"")))))))))))))))))))))))))))))))))</f>
        <v/>
      </c>
      <c r="B29" s="200"/>
      <c r="C29" s="200"/>
      <c r="D29" s="200"/>
      <c r="E29" s="200"/>
      <c r="F29" s="200"/>
      <c r="G29" s="200"/>
      <c r="H29" s="200"/>
      <c r="L29" s="6"/>
      <c r="R29" s="237"/>
      <c r="S29" s="48" t="s">
        <v>89</v>
      </c>
      <c r="T29" s="26">
        <v>11</v>
      </c>
      <c r="U29" s="27">
        <v>12</v>
      </c>
      <c r="V29" s="27">
        <v>13</v>
      </c>
      <c r="W29" s="28">
        <v>14</v>
      </c>
      <c r="X29" s="49">
        <v>21</v>
      </c>
      <c r="Y29" s="27">
        <v>23</v>
      </c>
      <c r="Z29" s="27">
        <v>24</v>
      </c>
      <c r="AA29" s="28">
        <v>26</v>
      </c>
      <c r="AC29" s="237"/>
      <c r="AD29" s="48" t="s">
        <v>89</v>
      </c>
      <c r="AE29" s="26">
        <v>13</v>
      </c>
      <c r="AF29" s="27">
        <v>14</v>
      </c>
      <c r="AG29" s="27">
        <v>16</v>
      </c>
      <c r="AH29" s="28">
        <v>18</v>
      </c>
      <c r="AI29" s="26">
        <v>21</v>
      </c>
      <c r="AJ29" s="27">
        <v>23</v>
      </c>
      <c r="AK29" s="27">
        <v>26</v>
      </c>
      <c r="AL29" s="28">
        <v>29</v>
      </c>
    </row>
    <row r="30" spans="1:38" x14ac:dyDescent="0.35">
      <c r="A30" s="200"/>
      <c r="B30" s="200"/>
      <c r="C30" s="200"/>
      <c r="D30" s="200"/>
      <c r="E30" s="200"/>
      <c r="F30" s="200"/>
      <c r="G30" s="200"/>
      <c r="H30" s="200"/>
      <c r="R30" s="237"/>
      <c r="S30" s="48" t="s">
        <v>90</v>
      </c>
      <c r="T30" s="50">
        <v>8</v>
      </c>
      <c r="U30" s="51">
        <v>9</v>
      </c>
      <c r="V30" s="27">
        <v>10</v>
      </c>
      <c r="W30" s="28">
        <v>11</v>
      </c>
      <c r="X30" s="49">
        <v>16</v>
      </c>
      <c r="Y30" s="27">
        <v>18</v>
      </c>
      <c r="Z30" s="27">
        <v>19</v>
      </c>
      <c r="AA30" s="28">
        <v>21</v>
      </c>
      <c r="AC30" s="237"/>
      <c r="AD30" s="48" t="s">
        <v>90</v>
      </c>
      <c r="AE30" s="26">
        <v>10</v>
      </c>
      <c r="AF30" s="27">
        <v>11</v>
      </c>
      <c r="AG30" s="27">
        <v>13</v>
      </c>
      <c r="AH30" s="28">
        <v>15</v>
      </c>
      <c r="AI30" s="26">
        <v>17</v>
      </c>
      <c r="AJ30" s="27">
        <v>19</v>
      </c>
      <c r="AK30" s="27">
        <v>21</v>
      </c>
      <c r="AL30" s="28">
        <v>24</v>
      </c>
    </row>
    <row r="31" spans="1:38" ht="15" thickBot="1" x14ac:dyDescent="0.4">
      <c r="R31" s="238"/>
      <c r="S31" s="52" t="s">
        <v>92</v>
      </c>
      <c r="T31" s="53">
        <v>7</v>
      </c>
      <c r="U31" s="54">
        <v>7</v>
      </c>
      <c r="V31" s="54">
        <v>8</v>
      </c>
      <c r="W31" s="55">
        <v>9</v>
      </c>
      <c r="X31" s="56">
        <v>13</v>
      </c>
      <c r="Y31" s="32">
        <v>14</v>
      </c>
      <c r="Z31" s="32">
        <v>15</v>
      </c>
      <c r="AA31" s="33">
        <v>16</v>
      </c>
      <c r="AC31" s="238"/>
      <c r="AD31" s="52" t="s">
        <v>92</v>
      </c>
      <c r="AE31" s="53">
        <v>8</v>
      </c>
      <c r="AF31" s="54">
        <v>9</v>
      </c>
      <c r="AG31" s="32">
        <v>10</v>
      </c>
      <c r="AH31" s="33">
        <v>12</v>
      </c>
      <c r="AI31" s="31">
        <v>13</v>
      </c>
      <c r="AJ31" s="32">
        <v>15</v>
      </c>
      <c r="AK31" s="32">
        <v>17</v>
      </c>
      <c r="AL31" s="33">
        <v>19</v>
      </c>
    </row>
    <row r="32" spans="1:38" x14ac:dyDescent="0.35">
      <c r="A32" s="241" t="str">
        <f>IF(B9&lt;70,"SCORE2:",IF(B9&gt;69,"SCORE2-OP:",""))</f>
        <v>SCORE2:</v>
      </c>
      <c r="B32" s="241"/>
      <c r="C32" s="57">
        <f>MAX(J13,J11,J9,J7,N13,N11,N9,N7,N20,N22,N24,N26,J26,J24,J22,J20)</f>
        <v>0</v>
      </c>
      <c r="D32" s="243" t="str">
        <f>IF(AND(B9&lt;50,C32&lt;2.5),"კარდიოვასკულური დაავადების დაბალი-საშუალო რისკი",IF(AND(B9&lt;50,C32&gt;2.4,C32&lt;7.5),"კარდიოვასკულური დაავადების მაღალი რისკი",IF(AND(B9&lt;50,C32&gt;7.4),"კარდიოვასკულური დაავადების ძალიან მაღალი რისკი",IF(AND(B9&gt;49,B9&lt;70,C32&lt;5),"კარდიოვასკულური დაავადების დაბალი-საშუალო რისკი",IF(AND(B9&gt;49,B9&lt;70,C32&gt;4.9,C32&lt;10),"კარდიოვასკულური დაავადების მაღალი რისკი",IF(AND(B9&gt;49,B9&lt;70,C32&gt;9.9),"კარდიოვასკულური დაავადების ძალიან მაღალი რისკი",IF(AND(B9&gt;69,C32&lt;7.5),"კარდიოვასკულური დაავადების დაბალი-საშუალო რისკი",IF(AND(B9&gt;69,C32&gt;7.4,C32&lt;15),"კარდიოვასკულური დაავადების მაღალი რისკი",IF(AND(B9&gt;69,C32&gt;14.9),"კარდიოვასკულური დაავადების ძალიან მაღალი რისკი","")))))))))</f>
        <v>კარდიოვასკულური დაავადების დაბალი-საშუალო რისკი</v>
      </c>
      <c r="E32" s="243"/>
      <c r="F32" s="243"/>
      <c r="G32" s="243"/>
      <c r="H32" s="243"/>
      <c r="I32" s="243"/>
      <c r="J32" s="243"/>
      <c r="R32" s="234" t="s">
        <v>102</v>
      </c>
      <c r="S32" s="58" t="s">
        <v>87</v>
      </c>
      <c r="T32" s="59">
        <v>10</v>
      </c>
      <c r="U32" s="60">
        <v>11</v>
      </c>
      <c r="V32" s="60">
        <v>12</v>
      </c>
      <c r="W32" s="61">
        <v>14</v>
      </c>
      <c r="X32" s="59">
        <v>21</v>
      </c>
      <c r="Y32" s="60">
        <v>23</v>
      </c>
      <c r="Z32" s="60">
        <v>25</v>
      </c>
      <c r="AA32" s="61">
        <v>28</v>
      </c>
      <c r="AC32" s="234" t="s">
        <v>102</v>
      </c>
      <c r="AD32" s="58" t="s">
        <v>87</v>
      </c>
      <c r="AE32" s="59">
        <v>12</v>
      </c>
      <c r="AF32" s="60">
        <v>14</v>
      </c>
      <c r="AG32" s="60">
        <v>16</v>
      </c>
      <c r="AH32" s="61">
        <v>19</v>
      </c>
      <c r="AI32" s="59">
        <v>21</v>
      </c>
      <c r="AJ32" s="60">
        <v>24</v>
      </c>
      <c r="AK32" s="60">
        <v>28</v>
      </c>
      <c r="AL32" s="61">
        <v>31</v>
      </c>
    </row>
    <row r="33" spans="10:38" x14ac:dyDescent="0.35">
      <c r="R33" s="234"/>
      <c r="S33" s="37" t="s">
        <v>89</v>
      </c>
      <c r="T33" s="50">
        <v>8</v>
      </c>
      <c r="U33" s="51">
        <v>9</v>
      </c>
      <c r="V33" s="51">
        <v>9</v>
      </c>
      <c r="W33" s="28">
        <v>11</v>
      </c>
      <c r="X33" s="26">
        <v>16</v>
      </c>
      <c r="Y33" s="27">
        <v>18</v>
      </c>
      <c r="Z33" s="27">
        <v>19</v>
      </c>
      <c r="AA33" s="28">
        <v>22</v>
      </c>
      <c r="AC33" s="234"/>
      <c r="AD33" s="37" t="s">
        <v>89</v>
      </c>
      <c r="AE33" s="26">
        <v>10</v>
      </c>
      <c r="AF33" s="27">
        <v>11</v>
      </c>
      <c r="AG33" s="27">
        <v>13</v>
      </c>
      <c r="AH33" s="28">
        <v>15</v>
      </c>
      <c r="AI33" s="26">
        <v>17</v>
      </c>
      <c r="AJ33" s="27">
        <v>19</v>
      </c>
      <c r="AK33" s="27">
        <v>22</v>
      </c>
      <c r="AL33" s="28">
        <v>25</v>
      </c>
    </row>
    <row r="34" spans="10:38" x14ac:dyDescent="0.35">
      <c r="R34" s="234"/>
      <c r="S34" s="37" t="s">
        <v>90</v>
      </c>
      <c r="T34" s="50">
        <v>6</v>
      </c>
      <c r="U34" s="51">
        <v>6</v>
      </c>
      <c r="V34" s="51">
        <v>7</v>
      </c>
      <c r="W34" s="62">
        <v>8</v>
      </c>
      <c r="X34" s="26">
        <v>12</v>
      </c>
      <c r="Y34" s="27">
        <v>13</v>
      </c>
      <c r="Z34" s="27">
        <v>15</v>
      </c>
      <c r="AA34" s="28">
        <v>17</v>
      </c>
      <c r="AC34" s="234"/>
      <c r="AD34" s="37" t="s">
        <v>90</v>
      </c>
      <c r="AE34" s="50">
        <v>7</v>
      </c>
      <c r="AF34" s="51">
        <v>9</v>
      </c>
      <c r="AG34" s="27">
        <v>10</v>
      </c>
      <c r="AH34" s="28">
        <v>12</v>
      </c>
      <c r="AI34" s="26">
        <v>13</v>
      </c>
      <c r="AJ34" s="27">
        <v>15</v>
      </c>
      <c r="AK34" s="27">
        <v>17</v>
      </c>
      <c r="AL34" s="28">
        <v>20</v>
      </c>
    </row>
    <row r="35" spans="10:38" ht="15" thickBot="1" x14ac:dyDescent="0.4">
      <c r="R35" s="235"/>
      <c r="S35" s="38" t="s">
        <v>92</v>
      </c>
      <c r="T35" s="63">
        <v>4</v>
      </c>
      <c r="U35" s="54">
        <v>5</v>
      </c>
      <c r="V35" s="54">
        <v>5</v>
      </c>
      <c r="W35" s="55">
        <v>6</v>
      </c>
      <c r="X35" s="53">
        <v>9</v>
      </c>
      <c r="Y35" s="32">
        <v>10</v>
      </c>
      <c r="Z35" s="32">
        <v>11</v>
      </c>
      <c r="AA35" s="33">
        <v>13</v>
      </c>
      <c r="AC35" s="235"/>
      <c r="AD35" s="38" t="s">
        <v>92</v>
      </c>
      <c r="AE35" s="53">
        <v>6</v>
      </c>
      <c r="AF35" s="54">
        <v>7</v>
      </c>
      <c r="AG35" s="54">
        <v>8</v>
      </c>
      <c r="AH35" s="55">
        <v>9</v>
      </c>
      <c r="AI35" s="31">
        <v>10</v>
      </c>
      <c r="AJ35" s="32">
        <v>12</v>
      </c>
      <c r="AK35" s="32">
        <v>14</v>
      </c>
      <c r="AL35" s="33">
        <v>16</v>
      </c>
    </row>
    <row r="36" spans="10:38" x14ac:dyDescent="0.35">
      <c r="J36" s="64"/>
      <c r="R36" s="236" t="s">
        <v>103</v>
      </c>
      <c r="S36" s="21" t="s">
        <v>87</v>
      </c>
      <c r="T36" s="65">
        <v>7</v>
      </c>
      <c r="U36" s="23">
        <v>8</v>
      </c>
      <c r="V36" s="23">
        <v>9</v>
      </c>
      <c r="W36" s="24">
        <v>10</v>
      </c>
      <c r="X36" s="22">
        <v>16</v>
      </c>
      <c r="Y36" s="23">
        <v>18</v>
      </c>
      <c r="Z36" s="23">
        <v>21</v>
      </c>
      <c r="AA36" s="24">
        <v>23</v>
      </c>
      <c r="AC36" s="236" t="s">
        <v>103</v>
      </c>
      <c r="AD36" s="21" t="s">
        <v>87</v>
      </c>
      <c r="AE36" s="22">
        <v>9</v>
      </c>
      <c r="AF36" s="23">
        <v>11</v>
      </c>
      <c r="AG36" s="23">
        <v>13</v>
      </c>
      <c r="AH36" s="24">
        <v>16</v>
      </c>
      <c r="AI36" s="22">
        <v>17</v>
      </c>
      <c r="AJ36" s="23">
        <v>20</v>
      </c>
      <c r="AK36" s="23">
        <v>24</v>
      </c>
      <c r="AL36" s="24">
        <v>28</v>
      </c>
    </row>
    <row r="37" spans="10:38" x14ac:dyDescent="0.35">
      <c r="R37" s="237"/>
      <c r="S37" s="25" t="s">
        <v>89</v>
      </c>
      <c r="T37" s="50">
        <v>5</v>
      </c>
      <c r="U37" s="51">
        <v>6</v>
      </c>
      <c r="V37" s="51">
        <v>7</v>
      </c>
      <c r="W37" s="28">
        <v>8</v>
      </c>
      <c r="X37" s="26">
        <v>12</v>
      </c>
      <c r="Y37" s="27">
        <v>14</v>
      </c>
      <c r="Z37" s="27">
        <v>15</v>
      </c>
      <c r="AA37" s="28">
        <v>17</v>
      </c>
      <c r="AC37" s="237"/>
      <c r="AD37" s="25" t="s">
        <v>89</v>
      </c>
      <c r="AE37" s="50">
        <v>7</v>
      </c>
      <c r="AF37" s="27">
        <v>8</v>
      </c>
      <c r="AG37" s="27">
        <v>10</v>
      </c>
      <c r="AH37" s="28">
        <v>12</v>
      </c>
      <c r="AI37" s="26">
        <v>13</v>
      </c>
      <c r="AJ37" s="27">
        <v>16</v>
      </c>
      <c r="AK37" s="27">
        <v>18</v>
      </c>
      <c r="AL37" s="28">
        <v>22</v>
      </c>
    </row>
    <row r="38" spans="10:38" x14ac:dyDescent="0.35">
      <c r="R38" s="237"/>
      <c r="S38" s="25" t="s">
        <v>90</v>
      </c>
      <c r="T38" s="50">
        <v>4</v>
      </c>
      <c r="U38" s="51">
        <v>4</v>
      </c>
      <c r="V38" s="51">
        <v>5</v>
      </c>
      <c r="W38" s="62">
        <v>6</v>
      </c>
      <c r="X38" s="26">
        <v>9</v>
      </c>
      <c r="Y38" s="27">
        <v>10</v>
      </c>
      <c r="Z38" s="27">
        <v>12</v>
      </c>
      <c r="AA38" s="28">
        <v>13</v>
      </c>
      <c r="AC38" s="237"/>
      <c r="AD38" s="25" t="s">
        <v>90</v>
      </c>
      <c r="AE38" s="50">
        <v>5</v>
      </c>
      <c r="AF38" s="51">
        <v>6</v>
      </c>
      <c r="AG38" s="27">
        <v>8</v>
      </c>
      <c r="AH38" s="28">
        <v>9</v>
      </c>
      <c r="AI38" s="26">
        <v>10</v>
      </c>
      <c r="AJ38" s="27">
        <v>12</v>
      </c>
      <c r="AK38" s="27">
        <v>14</v>
      </c>
      <c r="AL38" s="28">
        <v>17</v>
      </c>
    </row>
    <row r="39" spans="10:38" ht="15" thickBot="1" x14ac:dyDescent="0.4">
      <c r="R39" s="238"/>
      <c r="S39" s="30" t="s">
        <v>92</v>
      </c>
      <c r="T39" s="53">
        <v>3</v>
      </c>
      <c r="U39" s="54">
        <v>3</v>
      </c>
      <c r="V39" s="54">
        <v>4</v>
      </c>
      <c r="W39" s="55">
        <v>4</v>
      </c>
      <c r="X39" s="53">
        <v>7</v>
      </c>
      <c r="Y39" s="32">
        <v>8</v>
      </c>
      <c r="Z39" s="32">
        <v>9</v>
      </c>
      <c r="AA39" s="33">
        <v>10</v>
      </c>
      <c r="AC39" s="238"/>
      <c r="AD39" s="30" t="s">
        <v>92</v>
      </c>
      <c r="AE39" s="53">
        <v>4</v>
      </c>
      <c r="AF39" s="54">
        <v>5</v>
      </c>
      <c r="AG39" s="54">
        <v>6</v>
      </c>
      <c r="AH39" s="55">
        <v>7</v>
      </c>
      <c r="AI39" s="31">
        <v>8</v>
      </c>
      <c r="AJ39" s="32">
        <v>9</v>
      </c>
      <c r="AK39" s="32">
        <v>11</v>
      </c>
      <c r="AL39" s="33">
        <v>13</v>
      </c>
    </row>
    <row r="40" spans="10:38" x14ac:dyDescent="0.35">
      <c r="R40" s="233" t="s">
        <v>104</v>
      </c>
      <c r="S40" s="36" t="s">
        <v>87</v>
      </c>
      <c r="T40" s="65">
        <v>5</v>
      </c>
      <c r="U40" s="66">
        <v>6</v>
      </c>
      <c r="V40" s="66">
        <v>7</v>
      </c>
      <c r="W40" s="24">
        <v>8</v>
      </c>
      <c r="X40" s="22">
        <v>13</v>
      </c>
      <c r="Y40" s="23">
        <v>15</v>
      </c>
      <c r="Z40" s="23">
        <v>17</v>
      </c>
      <c r="AA40" s="24">
        <v>19</v>
      </c>
      <c r="AC40" s="233" t="s">
        <v>104</v>
      </c>
      <c r="AD40" s="36" t="s">
        <v>87</v>
      </c>
      <c r="AE40" s="65">
        <v>7</v>
      </c>
      <c r="AF40" s="23">
        <v>9</v>
      </c>
      <c r="AG40" s="23">
        <v>11</v>
      </c>
      <c r="AH40" s="24">
        <v>13</v>
      </c>
      <c r="AI40" s="22">
        <v>14</v>
      </c>
      <c r="AJ40" s="23">
        <v>17</v>
      </c>
      <c r="AK40" s="23">
        <v>20</v>
      </c>
      <c r="AL40" s="24">
        <v>24</v>
      </c>
    </row>
    <row r="41" spans="10:38" x14ac:dyDescent="0.35">
      <c r="R41" s="234"/>
      <c r="S41" s="37" t="s">
        <v>89</v>
      </c>
      <c r="T41" s="50">
        <v>4</v>
      </c>
      <c r="U41" s="51">
        <v>4</v>
      </c>
      <c r="V41" s="51">
        <v>5</v>
      </c>
      <c r="W41" s="62">
        <v>6</v>
      </c>
      <c r="X41" s="26">
        <v>9</v>
      </c>
      <c r="Y41" s="27">
        <v>11</v>
      </c>
      <c r="Z41" s="27">
        <v>12</v>
      </c>
      <c r="AA41" s="28">
        <v>14</v>
      </c>
      <c r="AC41" s="234"/>
      <c r="AD41" s="37" t="s">
        <v>89</v>
      </c>
      <c r="AE41" s="50">
        <v>5</v>
      </c>
      <c r="AF41" s="51">
        <v>6</v>
      </c>
      <c r="AG41" s="27">
        <v>8</v>
      </c>
      <c r="AH41" s="28">
        <v>10</v>
      </c>
      <c r="AI41" s="26">
        <v>11</v>
      </c>
      <c r="AJ41" s="27">
        <v>13</v>
      </c>
      <c r="AK41" s="27">
        <v>16</v>
      </c>
      <c r="AL41" s="28">
        <v>19</v>
      </c>
    </row>
    <row r="42" spans="10:38" x14ac:dyDescent="0.35">
      <c r="R42" s="234"/>
      <c r="S42" s="37" t="s">
        <v>90</v>
      </c>
      <c r="T42" s="50">
        <v>3</v>
      </c>
      <c r="U42" s="51">
        <v>3</v>
      </c>
      <c r="V42" s="51">
        <v>3</v>
      </c>
      <c r="W42" s="62">
        <v>4</v>
      </c>
      <c r="X42" s="50">
        <v>7</v>
      </c>
      <c r="Y42" s="27">
        <v>8</v>
      </c>
      <c r="Z42" s="27">
        <v>9</v>
      </c>
      <c r="AA42" s="28">
        <v>10</v>
      </c>
      <c r="AC42" s="234"/>
      <c r="AD42" s="37" t="s">
        <v>90</v>
      </c>
      <c r="AE42" s="50">
        <v>4</v>
      </c>
      <c r="AF42" s="51">
        <v>5</v>
      </c>
      <c r="AG42" s="51">
        <v>6</v>
      </c>
      <c r="AH42" s="62">
        <v>7</v>
      </c>
      <c r="AI42" s="26">
        <v>8</v>
      </c>
      <c r="AJ42" s="27">
        <v>10</v>
      </c>
      <c r="AK42" s="27">
        <v>12</v>
      </c>
      <c r="AL42" s="28">
        <v>14</v>
      </c>
    </row>
    <row r="43" spans="10:38" ht="15" thickBot="1" x14ac:dyDescent="0.4">
      <c r="R43" s="235"/>
      <c r="S43" s="38" t="s">
        <v>92</v>
      </c>
      <c r="T43" s="63">
        <v>2</v>
      </c>
      <c r="U43" s="67">
        <v>2</v>
      </c>
      <c r="V43" s="67">
        <v>2</v>
      </c>
      <c r="W43" s="55">
        <v>3</v>
      </c>
      <c r="X43" s="53">
        <v>5</v>
      </c>
      <c r="Y43" s="54">
        <v>6</v>
      </c>
      <c r="Z43" s="54">
        <v>6</v>
      </c>
      <c r="AA43" s="55">
        <v>7</v>
      </c>
      <c r="AC43" s="235"/>
      <c r="AD43" s="38" t="s">
        <v>92</v>
      </c>
      <c r="AE43" s="53">
        <v>3</v>
      </c>
      <c r="AF43" s="54">
        <v>4</v>
      </c>
      <c r="AG43" s="54">
        <v>4</v>
      </c>
      <c r="AH43" s="55">
        <v>5</v>
      </c>
      <c r="AI43" s="53">
        <v>6</v>
      </c>
      <c r="AJ43" s="54">
        <v>7</v>
      </c>
      <c r="AK43" s="32">
        <v>9</v>
      </c>
      <c r="AL43" s="33">
        <v>11</v>
      </c>
    </row>
    <row r="46" spans="10:38" x14ac:dyDescent="0.35">
      <c r="P46" s="17" t="s">
        <v>105</v>
      </c>
    </row>
    <row r="47" spans="10:38" x14ac:dyDescent="0.35">
      <c r="P47" s="17" t="s">
        <v>106</v>
      </c>
    </row>
    <row r="49" spans="16:16" x14ac:dyDescent="0.35">
      <c r="P49" s="17" t="s">
        <v>107</v>
      </c>
    </row>
    <row r="50" spans="16:16" x14ac:dyDescent="0.35">
      <c r="P50" s="17" t="s">
        <v>108</v>
      </c>
    </row>
    <row r="51" spans="16:16" x14ac:dyDescent="0.35">
      <c r="P51" s="17" t="s">
        <v>109</v>
      </c>
    </row>
    <row r="52" spans="16:16" x14ac:dyDescent="0.35">
      <c r="P52" s="17" t="s">
        <v>110</v>
      </c>
    </row>
    <row r="53" spans="16:16" x14ac:dyDescent="0.35">
      <c r="P53" s="17" t="s">
        <v>111</v>
      </c>
    </row>
  </sheetData>
  <sheetProtection algorithmName="SHA-512" hashValue="GnVr2SefBg+9XY6IEJGRZNmOiKDfqNhD54jIED0+s8Kc23es8nhzNEZwzLJC+qPyOg8aA/U7pjP4Clk+FPmIAQ==" saltValue="aHE6VngKOOUIlrNL6MqXLg==" spinCount="100000" sheet="1" objects="1" scenarios="1"/>
  <mergeCells count="39">
    <mergeCell ref="R40:R43"/>
    <mergeCell ref="AC40:AC43"/>
    <mergeCell ref="A32:B32"/>
    <mergeCell ref="D32:J32"/>
    <mergeCell ref="R32:R35"/>
    <mergeCell ref="AC32:AC35"/>
    <mergeCell ref="R36:R39"/>
    <mergeCell ref="AC36:AC39"/>
    <mergeCell ref="A15:C15"/>
    <mergeCell ref="R15:R18"/>
    <mergeCell ref="AC15:AC18"/>
    <mergeCell ref="A18:K18"/>
    <mergeCell ref="A20:B20"/>
    <mergeCell ref="R20:R23"/>
    <mergeCell ref="AC20:AC23"/>
    <mergeCell ref="A21:H22"/>
    <mergeCell ref="A23:H24"/>
    <mergeCell ref="R24:R27"/>
    <mergeCell ref="AC24:AC27"/>
    <mergeCell ref="A26:B26"/>
    <mergeCell ref="A27:H28"/>
    <mergeCell ref="R28:R31"/>
    <mergeCell ref="AC28:AC31"/>
    <mergeCell ref="A29:H30"/>
    <mergeCell ref="AE1:AH1"/>
    <mergeCell ref="AI1:AL1"/>
    <mergeCell ref="R7:R10"/>
    <mergeCell ref="AC7:AC10"/>
    <mergeCell ref="A11:B11"/>
    <mergeCell ref="R11:R14"/>
    <mergeCell ref="AC11:AC14"/>
    <mergeCell ref="A13:C13"/>
    <mergeCell ref="A3:O3"/>
    <mergeCell ref="R3:R6"/>
    <mergeCell ref="AC3:AC6"/>
    <mergeCell ref="A4:O4"/>
    <mergeCell ref="A1:O2"/>
    <mergeCell ref="T1:W1"/>
    <mergeCell ref="X1:AA1"/>
  </mergeCells>
  <conditionalFormatting sqref="N7 N9 N11 N13">
    <cfRule type="cellIs" dxfId="35" priority="15" operator="equal">
      <formula>0</formula>
    </cfRule>
  </conditionalFormatting>
  <conditionalFormatting sqref="O7:O23 O25:O28">
    <cfRule type="cellIs" dxfId="34" priority="14" operator="equal">
      <formula>0</formula>
    </cfRule>
  </conditionalFormatting>
  <conditionalFormatting sqref="J7:J17 J19:J28">
    <cfRule type="cellIs" dxfId="33" priority="13" operator="equal">
      <formula>0</formula>
    </cfRule>
  </conditionalFormatting>
  <conditionalFormatting sqref="N20:N26">
    <cfRule type="cellIs" dxfId="32" priority="12" operator="equal">
      <formula>0</formula>
    </cfRule>
  </conditionalFormatting>
  <conditionalFormatting sqref="A18:K18">
    <cfRule type="notContainsBlanks" dxfId="31" priority="11">
      <formula>LEN(TRIM(A18))&gt;0</formula>
    </cfRule>
  </conditionalFormatting>
  <conditionalFormatting sqref="A20:B20">
    <cfRule type="notContainsBlanks" dxfId="30" priority="10">
      <formula>LEN(TRIM(A20))&gt;0</formula>
    </cfRule>
  </conditionalFormatting>
  <conditionalFormatting sqref="A26:B26">
    <cfRule type="notContainsBlanks" dxfId="29" priority="9">
      <formula>LEN(TRIM(A26))&gt;0</formula>
    </cfRule>
  </conditionalFormatting>
  <conditionalFormatting sqref="A21:H22">
    <cfRule type="containsErrors" dxfId="28" priority="16">
      <formula>ISERROR(A21)</formula>
    </cfRule>
  </conditionalFormatting>
  <conditionalFormatting sqref="A27:H28">
    <cfRule type="containsErrors" dxfId="27" priority="8">
      <formula>ISERROR(A27)</formula>
    </cfRule>
  </conditionalFormatting>
  <conditionalFormatting sqref="A23:H24">
    <cfRule type="containsErrors" dxfId="26" priority="7">
      <formula>ISERROR(A23)</formula>
    </cfRule>
  </conditionalFormatting>
  <conditionalFormatting sqref="N20 N22 N24 N26 J26 J24 J22 J20">
    <cfRule type="cellIs" dxfId="25" priority="6" operator="greaterThan">
      <formula>0</formula>
    </cfRule>
  </conditionalFormatting>
  <conditionalFormatting sqref="N7 N9 N11 N13 J13 J11 J9 J7">
    <cfRule type="cellIs" dxfId="24" priority="5" operator="greaterThan">
      <formula>0</formula>
    </cfRule>
  </conditionalFormatting>
  <conditionalFormatting sqref="A32:B32">
    <cfRule type="notContainsBlanks" dxfId="23" priority="17">
      <formula>LEN(TRIM(A32))&gt;0</formula>
    </cfRule>
  </conditionalFormatting>
  <conditionalFormatting sqref="D32:J32">
    <cfRule type="containsText" dxfId="22" priority="2" operator="containsText" text="კარდიოვასკულური დაავადების ძალიან მაღალი რისკი">
      <formula>NOT(ISERROR(SEARCH("კარდიოვასკულური დაავადების ძალიან მაღალი რისკი",D32)))</formula>
    </cfRule>
    <cfRule type="containsText" dxfId="21" priority="3" operator="containsText" text="კარდიოვასკულური დაავადების მაღალი რისკი">
      <formula>NOT(ISERROR(SEARCH("კარდიოვასკულური დაავადების მაღალი რისკი",D32)))</formula>
    </cfRule>
    <cfRule type="containsText" dxfId="20" priority="4" operator="containsText" text="დაბალი">
      <formula>NOT(ISERROR(SEARCH("დაბალი",D32)))</formula>
    </cfRule>
  </conditionalFormatting>
  <conditionalFormatting sqref="C32">
    <cfRule type="notContainsBlanks" dxfId="19" priority="1">
      <formula>LEN(TRIM(C32))&gt;0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Option Button 1">
              <controlPr defaultSize="0" autoFill="0" autoLine="0" autoPict="0">
                <anchor moveWithCells="1">
                  <from>
                    <xdr:col>1</xdr:col>
                    <xdr:colOff>69850</xdr:colOff>
                    <xdr:row>5</xdr:row>
                    <xdr:rowOff>177800</xdr:rowOff>
                  </from>
                  <to>
                    <xdr:col>2</xdr:col>
                    <xdr:colOff>133350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Option Button 2">
              <controlPr defaultSize="0" autoFill="0" autoLine="0" autoPict="0">
                <anchor moveWithCells="1">
                  <from>
                    <xdr:col>2</xdr:col>
                    <xdr:colOff>196850</xdr:colOff>
                    <xdr:row>6</xdr:row>
                    <xdr:rowOff>12700</xdr:rowOff>
                  </from>
                  <to>
                    <xdr:col>3</xdr:col>
                    <xdr:colOff>260350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Option Button 3">
              <controlPr defaultSize="0" autoFill="0" autoLine="0" autoPict="0">
                <anchor moveWithCells="1">
                  <from>
                    <xdr:col>13</xdr:col>
                    <xdr:colOff>565150</xdr:colOff>
                    <xdr:row>0</xdr:row>
                    <xdr:rowOff>57150</xdr:rowOff>
                  </from>
                  <to>
                    <xdr:col>15</xdr:col>
                    <xdr:colOff>19050</xdr:colOff>
                    <xdr:row>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8B09-0B53-41A6-886B-CE91766F2468}">
  <dimension ref="A1:O25"/>
  <sheetViews>
    <sheetView topLeftCell="A12" workbookViewId="0">
      <selection activeCell="J26" sqref="J26"/>
    </sheetView>
  </sheetViews>
  <sheetFormatPr defaultRowHeight="14.5" x14ac:dyDescent="0.35"/>
  <cols>
    <col min="1" max="16384" width="8.7265625" style="1"/>
  </cols>
  <sheetData>
    <row r="1" spans="1:15" x14ac:dyDescent="0.35">
      <c r="A1" s="244" t="s">
        <v>112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x14ac:dyDescent="0.3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5" ht="15" thickBot="1" x14ac:dyDescent="0.4"/>
    <row r="4" spans="1:15" ht="15" thickBot="1" x14ac:dyDescent="0.4">
      <c r="A4" s="9" t="s">
        <v>56</v>
      </c>
      <c r="B4" s="9"/>
      <c r="I4" s="11">
        <f>IF(Anamnesis!F19=2,1,0)</f>
        <v>0</v>
      </c>
      <c r="K4" s="12" t="s">
        <v>64</v>
      </c>
    </row>
    <row r="5" spans="1:15" ht="15" thickBot="1" x14ac:dyDescent="0.4">
      <c r="A5" s="9"/>
      <c r="B5" s="9"/>
      <c r="K5" s="12"/>
    </row>
    <row r="6" spans="1:15" ht="15" thickBot="1" x14ac:dyDescent="0.4">
      <c r="A6" s="9" t="s">
        <v>57</v>
      </c>
      <c r="B6" s="9"/>
      <c r="I6" s="11">
        <f>IF(Anamnesis!I4&gt;60,1,0)</f>
        <v>0</v>
      </c>
      <c r="K6" s="12" t="s">
        <v>65</v>
      </c>
    </row>
    <row r="7" spans="1:15" x14ac:dyDescent="0.35">
      <c r="A7" s="9"/>
      <c r="B7" s="9"/>
      <c r="K7" s="12"/>
    </row>
    <row r="8" spans="1:15" x14ac:dyDescent="0.35">
      <c r="A8" s="9" t="s">
        <v>58</v>
      </c>
      <c r="B8" s="9"/>
      <c r="K8" s="12"/>
    </row>
    <row r="9" spans="1:15" ht="15" thickBot="1" x14ac:dyDescent="0.4">
      <c r="A9" s="9"/>
      <c r="B9" s="9"/>
      <c r="K9" s="12"/>
    </row>
    <row r="10" spans="1:15" ht="15" thickBot="1" x14ac:dyDescent="0.4">
      <c r="A10" s="9" t="s">
        <v>59</v>
      </c>
      <c r="B10" s="9"/>
      <c r="I10" s="11">
        <f>IF(Anamnesis!P18,1,0)</f>
        <v>0</v>
      </c>
      <c r="K10" s="12" t="s">
        <v>66</v>
      </c>
    </row>
    <row r="11" spans="1:15" ht="15" thickBot="1" x14ac:dyDescent="0.4">
      <c r="A11" s="9"/>
      <c r="B11" s="9"/>
      <c r="K11" s="12"/>
    </row>
    <row r="12" spans="1:15" ht="15" thickBot="1" x14ac:dyDescent="0.4">
      <c r="A12" s="9" t="s">
        <v>60</v>
      </c>
      <c r="B12" s="9"/>
      <c r="I12" s="11">
        <f>IF(Anamnesis!P19,1,0)</f>
        <v>0</v>
      </c>
      <c r="K12" s="12" t="s">
        <v>67</v>
      </c>
    </row>
    <row r="13" spans="1:15" ht="15" thickBot="1" x14ac:dyDescent="0.4">
      <c r="A13" s="9"/>
      <c r="B13" s="9"/>
      <c r="K13" s="12"/>
    </row>
    <row r="14" spans="1:15" ht="15" thickBot="1" x14ac:dyDescent="0.4">
      <c r="A14" s="9" t="s">
        <v>61</v>
      </c>
      <c r="B14" s="9"/>
      <c r="I14" s="11">
        <f>IF(Anamnesis!P20,1,0)</f>
        <v>0</v>
      </c>
      <c r="K14" s="12" t="s">
        <v>68</v>
      </c>
    </row>
    <row r="15" spans="1:15" ht="15" thickBot="1" x14ac:dyDescent="0.4">
      <c r="A15" s="9"/>
      <c r="B15" s="9"/>
      <c r="K15" s="12"/>
    </row>
    <row r="16" spans="1:15" ht="15" thickBot="1" x14ac:dyDescent="0.4">
      <c r="A16" s="9" t="s">
        <v>62</v>
      </c>
      <c r="B16" s="9"/>
      <c r="I16" s="11">
        <f>IF(Anamnesis!P21,1,0)</f>
        <v>0</v>
      </c>
      <c r="K16" s="12" t="s">
        <v>69</v>
      </c>
    </row>
    <row r="17" spans="1:11" ht="15" thickBot="1" x14ac:dyDescent="0.4">
      <c r="A17" s="9"/>
      <c r="B17" s="9"/>
      <c r="K17" s="12"/>
    </row>
    <row r="18" spans="1:11" ht="15" thickBot="1" x14ac:dyDescent="0.4">
      <c r="A18" s="9" t="s">
        <v>63</v>
      </c>
      <c r="B18" s="9"/>
      <c r="I18" s="11">
        <f>IF(Anamnesis!L19=2,1,0)</f>
        <v>0</v>
      </c>
      <c r="K18" s="12" t="s">
        <v>70</v>
      </c>
    </row>
    <row r="19" spans="1:11" x14ac:dyDescent="0.35">
      <c r="A19" s="10"/>
      <c r="B19" s="10"/>
    </row>
    <row r="20" spans="1:11" x14ac:dyDescent="0.35">
      <c r="I20" s="13">
        <f>SUM(I4+I6+I10+I12+I14+I16+I18)</f>
        <v>0</v>
      </c>
    </row>
    <row r="22" spans="1:11" x14ac:dyDescent="0.35">
      <c r="A22" s="2">
        <v>0</v>
      </c>
      <c r="B22" s="1" t="s">
        <v>311</v>
      </c>
      <c r="I22" s="1" t="str">
        <f>IF(I20=0,B22,IF(I20=1,B23,IF(I20=2,B24,IF(I20&gt;2,B25,""))))</f>
        <v>დაბალი რისკი</v>
      </c>
    </row>
    <row r="23" spans="1:11" x14ac:dyDescent="0.35">
      <c r="A23" s="2">
        <v>1</v>
      </c>
      <c r="B23" s="1" t="s">
        <v>358</v>
      </c>
    </row>
    <row r="24" spans="1:11" x14ac:dyDescent="0.35">
      <c r="A24" s="2">
        <v>2</v>
      </c>
      <c r="B24" s="1" t="s">
        <v>358</v>
      </c>
    </row>
    <row r="25" spans="1:11" x14ac:dyDescent="0.35">
      <c r="A25" s="2">
        <v>3</v>
      </c>
      <c r="B25" s="1" t="s">
        <v>359</v>
      </c>
    </row>
  </sheetData>
  <sheetProtection algorithmName="SHA-512" hashValue="hZr8srOlKTyQOnycYk0Ok6LWTTkAnigBJQ4i89cAU4xQRaMDJ0YKV4XnASuD3SxjO9lJd3ZHe2XXbJr7LXMJ8A==" saltValue="nGseh3gelCyhxvMVSSsKqQ==" spinCount="100000" sheet="1" objects="1" scenarios="1"/>
  <mergeCells count="1">
    <mergeCell ref="A1:O2"/>
  </mergeCells>
  <pageMargins left="0.7" right="0.7" top="0.75" bottom="0.75" header="0.3" footer="0.3"/>
  <pageSetup paperSize="9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A3FF-1CE1-4EE8-BF29-81EECAA8D66A}">
  <dimension ref="A1:AD291"/>
  <sheetViews>
    <sheetView topLeftCell="A4" workbookViewId="0">
      <selection activeCell="P23" sqref="P23"/>
    </sheetView>
  </sheetViews>
  <sheetFormatPr defaultColWidth="9" defaultRowHeight="14.5" x14ac:dyDescent="0.35"/>
  <cols>
    <col min="1" max="14" width="9" style="71"/>
    <col min="15" max="30" width="9" style="72"/>
    <col min="31" max="16384" width="9" style="71"/>
  </cols>
  <sheetData>
    <row r="1" spans="1:21" x14ac:dyDescent="0.35">
      <c r="A1" s="247" t="s">
        <v>116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21" x14ac:dyDescent="0.35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21" x14ac:dyDescent="0.35">
      <c r="F3" s="121"/>
      <c r="G3" s="121"/>
      <c r="H3" s="121"/>
    </row>
    <row r="4" spans="1:21" x14ac:dyDescent="0.35">
      <c r="A4" s="71" t="s">
        <v>117</v>
      </c>
      <c r="F4" s="121"/>
      <c r="G4" s="121">
        <v>40</v>
      </c>
      <c r="H4" s="121"/>
      <c r="I4" s="248" t="str">
        <f>IF(G4=2,R24,IF(G4=3,R25,IF(G4=4,R26,IF(G4=5,R27,IF(G4=6,R28,IF(G4=7,R29,IF(G4=8,R30,IF(G4=9,R31,IF(G4=10,R32,IF(G4=11,R33,IF(G4=12,R34,IF(G4=13,R35,IF(G4=14,R36,IF(G4=15,R37,IF(G4=16,R38,IF(G4=17,R39,IF(G4=18,R40,IF(G4=19,R41,IF(G4=20,R42,IF(G4=21,R43,IF(G4=22,R44,IF(G4=23,R45,IF(G4=24,R46,IF(G4=25,R47,IF(G4=26,R48,IF(G4=27,R49,IF(G4=28,R50,IF(G4=29,R51,IF(G4=30,R52,IF(G4=31,R53,IF(G4=32,R54,IF(G4=33,R55,IF(G4=34,R56,IF(G4=35,R57,IF(G4=36,R58,IF(G4=37,R59,IF(G4=38,R60,IF(G4=39,R61,IF(G4=40,R62,IF(G4=41,R63,IF(G4=42,R64,IF(G4=43,R65,IF(G4=44,R66,IF(G4=45,R67,IF(G4=46,R68,IF(G4=47,R69,IF(G4=48,R70,IF(G4=49,R71,IF(G4=50,R72,IF(G4=51,R73,IF(G4=52,R74,IF(G4=53,R75,IF(G4=54,R76,IF(G4=55,R77,IF(G4=56,R78,"")))))))))))))))))))))))))))))))))))))))))))))))))))))))</f>
        <v>ძალიან მაღალი რისკი</v>
      </c>
      <c r="J4" s="248"/>
      <c r="K4" s="248"/>
      <c r="L4" s="248"/>
      <c r="M4" s="73"/>
      <c r="N4" s="73"/>
      <c r="O4" s="72" t="s">
        <v>122</v>
      </c>
      <c r="R4" s="72" t="s">
        <v>118</v>
      </c>
    </row>
    <row r="5" spans="1:21" x14ac:dyDescent="0.35">
      <c r="F5" s="121"/>
      <c r="G5" s="121"/>
      <c r="H5" s="121"/>
      <c r="R5" s="72" t="s">
        <v>119</v>
      </c>
      <c r="U5" s="74"/>
    </row>
    <row r="6" spans="1:21" x14ac:dyDescent="0.35">
      <c r="O6" s="75" t="str">
        <f>IF(Anamnesis!P4=1,2,IF(Anamnesis!P4=2,1,""))</f>
        <v/>
      </c>
      <c r="R6" s="72" t="s">
        <v>120</v>
      </c>
    </row>
    <row r="7" spans="1:21" x14ac:dyDescent="0.35">
      <c r="E7" s="76" t="s">
        <v>121</v>
      </c>
      <c r="F7" s="115">
        <f>Anamnesis!I4</f>
        <v>0</v>
      </c>
      <c r="G7" s="71" t="s">
        <v>3</v>
      </c>
      <c r="I7" s="78"/>
      <c r="J7" s="78"/>
      <c r="R7" s="72" t="s">
        <v>122</v>
      </c>
    </row>
    <row r="8" spans="1:21" x14ac:dyDescent="0.35">
      <c r="E8" s="79" t="s">
        <v>123</v>
      </c>
    </row>
    <row r="9" spans="1:21" x14ac:dyDescent="0.35">
      <c r="O9" s="72" t="str">
        <f>IF(O6=1,"Female",IF(O6=2,"Male",""))</f>
        <v/>
      </c>
      <c r="P9" s="72" t="str">
        <f>IF(Anamnesis!C12=2,"yes",IF(Anamnesis!C12=3,"no",""))</f>
        <v/>
      </c>
    </row>
    <row r="10" spans="1:21" x14ac:dyDescent="0.35">
      <c r="E10" s="249" t="s">
        <v>124</v>
      </c>
      <c r="F10" s="249"/>
      <c r="G10" s="249"/>
      <c r="H10" s="249"/>
      <c r="I10" s="249"/>
      <c r="J10" s="249"/>
      <c r="K10" s="115">
        <v>30</v>
      </c>
      <c r="L10" s="71" t="s">
        <v>3</v>
      </c>
    </row>
    <row r="11" spans="1:21" x14ac:dyDescent="0.35">
      <c r="E11" s="79" t="s">
        <v>125</v>
      </c>
      <c r="O11" s="75" t="b">
        <v>1</v>
      </c>
    </row>
    <row r="12" spans="1:21" x14ac:dyDescent="0.35">
      <c r="G12"/>
      <c r="O12" s="75" t="b">
        <v>0</v>
      </c>
      <c r="T12" s="80"/>
    </row>
    <row r="13" spans="1:21" x14ac:dyDescent="0.35">
      <c r="C13" s="248" t="s">
        <v>126</v>
      </c>
      <c r="D13" s="248"/>
      <c r="E13" s="248"/>
      <c r="F13" s="71" t="s">
        <v>4</v>
      </c>
    </row>
    <row r="14" spans="1:21" x14ac:dyDescent="0.35">
      <c r="J14" s="250" t="s">
        <v>127</v>
      </c>
      <c r="K14" s="250"/>
      <c r="L14" s="250"/>
      <c r="M14" s="250"/>
      <c r="N14" s="115">
        <f>Anamnesis!D8</f>
        <v>0</v>
      </c>
    </row>
    <row r="15" spans="1:21" x14ac:dyDescent="0.35">
      <c r="D15" s="71" t="s">
        <v>11</v>
      </c>
      <c r="J15" s="245" t="s">
        <v>128</v>
      </c>
      <c r="K15" s="246"/>
      <c r="L15" s="246"/>
      <c r="M15" s="246"/>
    </row>
    <row r="16" spans="1:21" x14ac:dyDescent="0.35">
      <c r="H16" s="115">
        <f>Anamnesis!C6</f>
        <v>0</v>
      </c>
      <c r="I16" s="71" t="s">
        <v>5</v>
      </c>
      <c r="J16" s="250" t="s">
        <v>129</v>
      </c>
      <c r="K16" s="250"/>
      <c r="L16" s="250"/>
      <c r="M16" s="250"/>
      <c r="N16" s="115">
        <f>Anamnesis!M8</f>
        <v>0</v>
      </c>
    </row>
    <row r="17" spans="1:18" x14ac:dyDescent="0.35">
      <c r="D17" s="71" t="s">
        <v>12</v>
      </c>
      <c r="J17" s="246" t="s">
        <v>130</v>
      </c>
      <c r="K17" s="246"/>
      <c r="L17" s="246"/>
      <c r="M17" s="246"/>
    </row>
    <row r="18" spans="1:18" x14ac:dyDescent="0.35">
      <c r="F18" s="251" t="s">
        <v>131</v>
      </c>
      <c r="G18" s="251"/>
      <c r="H18" s="251"/>
      <c r="J18" s="253" t="s">
        <v>132</v>
      </c>
      <c r="K18" s="253"/>
      <c r="L18" s="253"/>
      <c r="M18" s="253"/>
      <c r="N18" s="115">
        <f>Anamnesis!K14</f>
        <v>0</v>
      </c>
    </row>
    <row r="19" spans="1:18" x14ac:dyDescent="0.35">
      <c r="J19" s="246" t="s">
        <v>133</v>
      </c>
      <c r="K19" s="246"/>
      <c r="L19" s="246"/>
      <c r="M19" s="246"/>
    </row>
    <row r="20" spans="1:18" ht="15" thickBot="1" x14ac:dyDescent="0.4"/>
    <row r="21" spans="1:18" ht="17" thickBot="1" x14ac:dyDescent="0.4">
      <c r="C21" s="81" t="s">
        <v>15</v>
      </c>
      <c r="D21" s="115" t="str">
        <f>Anamnesis!B16</f>
        <v/>
      </c>
      <c r="E21" s="71" t="s">
        <v>134</v>
      </c>
      <c r="H21" s="254" t="s">
        <v>135</v>
      </c>
      <c r="I21" s="254"/>
      <c r="J21" s="254"/>
      <c r="K21" s="254"/>
      <c r="L21" s="82" t="e">
        <f>calculator!B13</f>
        <v>#VALUE!</v>
      </c>
      <c r="M21" s="83" t="s">
        <v>113</v>
      </c>
    </row>
    <row r="23" spans="1:18" x14ac:dyDescent="0.35">
      <c r="A23" s="251" t="s">
        <v>136</v>
      </c>
      <c r="B23" s="251"/>
      <c r="C23" s="251"/>
      <c r="H23" s="84" t="e">
        <f>IF(AND(L21&gt;0,L21&lt;5),"დაბალი კარდიოვასკულური რისკი",IF(AND(L21&gt;4.9,L21&lt;10),"საშუალო კარდიოვასკულური რისკი",IF(AND(L21&gt;9.9,L21&lt;20),"მაღალი კარდიოვასკულური რისკი",IF(L21&gt;19.9,"ძალიან მაღალი კარდიოვასკულური რისკი",""))))</f>
        <v>#VALUE!</v>
      </c>
    </row>
    <row r="24" spans="1:18" x14ac:dyDescent="0.35">
      <c r="H24" s="252" t="e">
        <f>IF(H23="ძალიან მაღალი კარდიოვასკულური რისკი","რისკი ძალიან მაღალია სამიზნე ორგანოების მძიმე დაზიანების შემთხვევაშიც","")</f>
        <v>#VALUE!</v>
      </c>
      <c r="I24" s="252"/>
      <c r="J24" s="252"/>
      <c r="K24" s="252"/>
      <c r="L24" s="252"/>
      <c r="M24" s="252"/>
      <c r="N24" s="252"/>
      <c r="O24" s="80" t="s">
        <v>137</v>
      </c>
      <c r="Q24" s="72" t="s">
        <v>138</v>
      </c>
      <c r="R24" s="72" t="s">
        <v>139</v>
      </c>
    </row>
    <row r="25" spans="1:18" x14ac:dyDescent="0.35">
      <c r="O25" s="80" t="s">
        <v>140</v>
      </c>
      <c r="Q25" s="72" t="s">
        <v>141</v>
      </c>
      <c r="R25" s="72" t="s">
        <v>142</v>
      </c>
    </row>
    <row r="26" spans="1:18" ht="15" customHeight="1" x14ac:dyDescent="0.3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0" t="s">
        <v>143</v>
      </c>
      <c r="Q26" s="72" t="s">
        <v>144</v>
      </c>
      <c r="R26" s="72" t="s">
        <v>145</v>
      </c>
    </row>
    <row r="27" spans="1:18" x14ac:dyDescent="0.3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0" t="s">
        <v>146</v>
      </c>
      <c r="Q27" s="72" t="s">
        <v>147</v>
      </c>
      <c r="R27" s="72" t="s">
        <v>142</v>
      </c>
    </row>
    <row r="28" spans="1:18" x14ac:dyDescent="0.3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0" t="s">
        <v>148</v>
      </c>
      <c r="Q28" s="72" t="s">
        <v>149</v>
      </c>
      <c r="R28" s="72" t="s">
        <v>150</v>
      </c>
    </row>
    <row r="29" spans="1:18" ht="15" customHeight="1" x14ac:dyDescent="0.3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0" t="s">
        <v>151</v>
      </c>
      <c r="Q29" s="72" t="s">
        <v>152</v>
      </c>
      <c r="R29" s="72" t="s">
        <v>142</v>
      </c>
    </row>
    <row r="30" spans="1:18" x14ac:dyDescent="0.3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0" t="s">
        <v>153</v>
      </c>
      <c r="Q30" s="72" t="s">
        <v>154</v>
      </c>
      <c r="R30" s="72" t="s">
        <v>145</v>
      </c>
    </row>
    <row r="31" spans="1:18" x14ac:dyDescent="0.3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0" t="s">
        <v>155</v>
      </c>
      <c r="Q31" s="72" t="s">
        <v>156</v>
      </c>
      <c r="R31" s="72" t="s">
        <v>142</v>
      </c>
    </row>
    <row r="32" spans="1:18" ht="15" customHeight="1" x14ac:dyDescent="0.3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0" t="s">
        <v>157</v>
      </c>
      <c r="Q32" s="72" t="s">
        <v>158</v>
      </c>
      <c r="R32" s="72" t="s">
        <v>150</v>
      </c>
    </row>
    <row r="33" spans="1:18" x14ac:dyDescent="0.3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0" t="s">
        <v>159</v>
      </c>
      <c r="Q33" s="72" t="s">
        <v>160</v>
      </c>
      <c r="R33" s="72" t="s">
        <v>139</v>
      </c>
    </row>
    <row r="34" spans="1:18" x14ac:dyDescent="0.35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0" t="s">
        <v>161</v>
      </c>
      <c r="Q34" s="72" t="s">
        <v>162</v>
      </c>
      <c r="R34" s="72" t="s">
        <v>150</v>
      </c>
    </row>
    <row r="35" spans="1:18" x14ac:dyDescent="0.35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0" t="s">
        <v>163</v>
      </c>
      <c r="Q35" s="72" t="s">
        <v>164</v>
      </c>
      <c r="R35" s="72" t="s">
        <v>142</v>
      </c>
    </row>
    <row r="36" spans="1:18" x14ac:dyDescent="0.35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0" t="s">
        <v>165</v>
      </c>
      <c r="Q36" s="72" t="s">
        <v>166</v>
      </c>
      <c r="R36" s="72" t="s">
        <v>150</v>
      </c>
    </row>
    <row r="37" spans="1:18" x14ac:dyDescent="0.35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0" t="s">
        <v>167</v>
      </c>
      <c r="Q37" s="72" t="s">
        <v>168</v>
      </c>
      <c r="R37" s="72" t="s">
        <v>145</v>
      </c>
    </row>
    <row r="38" spans="1:18" x14ac:dyDescent="0.3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0" t="s">
        <v>169</v>
      </c>
      <c r="Q38" s="72" t="s">
        <v>170</v>
      </c>
      <c r="R38" s="72" t="s">
        <v>145</v>
      </c>
    </row>
    <row r="39" spans="1:18" x14ac:dyDescent="0.3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0" t="s">
        <v>171</v>
      </c>
      <c r="Q39" s="72" t="s">
        <v>172</v>
      </c>
      <c r="R39" s="72" t="s">
        <v>139</v>
      </c>
    </row>
    <row r="40" spans="1:18" x14ac:dyDescent="0.3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0" t="s">
        <v>173</v>
      </c>
      <c r="Q40" s="72" t="s">
        <v>174</v>
      </c>
      <c r="R40" s="72" t="s">
        <v>139</v>
      </c>
    </row>
    <row r="41" spans="1:18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0" t="s">
        <v>175</v>
      </c>
      <c r="Q41" s="72" t="s">
        <v>176</v>
      </c>
      <c r="R41" s="72" t="s">
        <v>150</v>
      </c>
    </row>
    <row r="42" spans="1:18" x14ac:dyDescent="0.35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0" t="s">
        <v>177</v>
      </c>
      <c r="Q42" s="72" t="s">
        <v>178</v>
      </c>
      <c r="R42" s="72" t="s">
        <v>139</v>
      </c>
    </row>
    <row r="43" spans="1:18" x14ac:dyDescent="0.35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0" t="s">
        <v>179</v>
      </c>
      <c r="Q43" s="72" t="s">
        <v>180</v>
      </c>
      <c r="R43" s="72" t="s">
        <v>139</v>
      </c>
    </row>
    <row r="44" spans="1:18" x14ac:dyDescent="0.35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0" t="s">
        <v>181</v>
      </c>
      <c r="Q44" s="72" t="s">
        <v>182</v>
      </c>
      <c r="R44" s="72" t="s">
        <v>142</v>
      </c>
    </row>
    <row r="45" spans="1:18" x14ac:dyDescent="0.3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0" t="s">
        <v>183</v>
      </c>
      <c r="Q45" s="72" t="s">
        <v>184</v>
      </c>
      <c r="R45" s="72" t="s">
        <v>142</v>
      </c>
    </row>
    <row r="46" spans="1:18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0" t="s">
        <v>185</v>
      </c>
      <c r="Q46" s="72" t="s">
        <v>186</v>
      </c>
      <c r="R46" s="72" t="s">
        <v>142</v>
      </c>
    </row>
    <row r="47" spans="1:18" x14ac:dyDescent="0.35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0" t="s">
        <v>187</v>
      </c>
      <c r="Q47" s="72" t="s">
        <v>188</v>
      </c>
      <c r="R47" s="72" t="s">
        <v>142</v>
      </c>
    </row>
    <row r="48" spans="1:18" x14ac:dyDescent="0.3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0" t="s">
        <v>189</v>
      </c>
      <c r="Q48" s="72" t="s">
        <v>190</v>
      </c>
      <c r="R48" s="72" t="s">
        <v>150</v>
      </c>
    </row>
    <row r="49" spans="1:18" x14ac:dyDescent="0.3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0" t="s">
        <v>191</v>
      </c>
      <c r="Q49" s="72" t="s">
        <v>192</v>
      </c>
      <c r="R49" s="72" t="s">
        <v>142</v>
      </c>
    </row>
    <row r="50" spans="1:18" x14ac:dyDescent="0.35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0" t="s">
        <v>193</v>
      </c>
      <c r="Q50" s="72" t="s">
        <v>194</v>
      </c>
      <c r="R50" s="72" t="s">
        <v>139</v>
      </c>
    </row>
    <row r="51" spans="1:18" x14ac:dyDescent="0.35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0" t="s">
        <v>195</v>
      </c>
      <c r="Q51" s="72" t="s">
        <v>196</v>
      </c>
      <c r="R51" s="72" t="s">
        <v>142</v>
      </c>
    </row>
    <row r="52" spans="1:18" x14ac:dyDescent="0.35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0" t="s">
        <v>197</v>
      </c>
      <c r="Q52" s="72" t="s">
        <v>198</v>
      </c>
      <c r="R52" s="72" t="s">
        <v>142</v>
      </c>
    </row>
    <row r="53" spans="1:18" x14ac:dyDescent="0.35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0" t="s">
        <v>199</v>
      </c>
      <c r="Q53" s="72" t="s">
        <v>200</v>
      </c>
      <c r="R53" s="72" t="s">
        <v>142</v>
      </c>
    </row>
    <row r="54" spans="1:18" x14ac:dyDescent="0.35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0" t="s">
        <v>201</v>
      </c>
      <c r="Q54" s="72" t="s">
        <v>202</v>
      </c>
      <c r="R54" s="72" t="s">
        <v>150</v>
      </c>
    </row>
    <row r="55" spans="1:18" x14ac:dyDescent="0.35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0" t="s">
        <v>203</v>
      </c>
      <c r="Q55" s="72" t="s">
        <v>204</v>
      </c>
      <c r="R55" s="72" t="s">
        <v>150</v>
      </c>
    </row>
    <row r="56" spans="1:18" x14ac:dyDescent="0.35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0" t="s">
        <v>205</v>
      </c>
      <c r="Q56" s="72" t="s">
        <v>206</v>
      </c>
      <c r="R56" s="72" t="s">
        <v>145</v>
      </c>
    </row>
    <row r="57" spans="1:18" x14ac:dyDescent="0.35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0" t="s">
        <v>207</v>
      </c>
      <c r="Q57" s="72" t="s">
        <v>208</v>
      </c>
      <c r="R57" s="72" t="s">
        <v>139</v>
      </c>
    </row>
    <row r="58" spans="1:18" x14ac:dyDescent="0.35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0" t="s">
        <v>209</v>
      </c>
      <c r="Q58" s="72" t="s">
        <v>210</v>
      </c>
      <c r="R58" s="72" t="s">
        <v>142</v>
      </c>
    </row>
    <row r="59" spans="1:18" x14ac:dyDescent="0.35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0" t="s">
        <v>211</v>
      </c>
      <c r="Q59" s="72" t="s">
        <v>212</v>
      </c>
      <c r="R59" s="72" t="s">
        <v>139</v>
      </c>
    </row>
    <row r="60" spans="1:18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0" t="s">
        <v>213</v>
      </c>
      <c r="Q60" s="72" t="s">
        <v>214</v>
      </c>
      <c r="R60" s="72" t="s">
        <v>139</v>
      </c>
    </row>
    <row r="61" spans="1:18" x14ac:dyDescent="0.35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0" t="s">
        <v>215</v>
      </c>
      <c r="Q61" s="72" t="s">
        <v>216</v>
      </c>
      <c r="R61" s="72" t="s">
        <v>150</v>
      </c>
    </row>
    <row r="62" spans="1:18" x14ac:dyDescent="0.35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0" t="s">
        <v>217</v>
      </c>
      <c r="Q62" s="72" t="s">
        <v>218</v>
      </c>
      <c r="R62" s="72" t="s">
        <v>142</v>
      </c>
    </row>
    <row r="63" spans="1:18" x14ac:dyDescent="0.35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0" t="s">
        <v>219</v>
      </c>
      <c r="Q63" s="72" t="s">
        <v>220</v>
      </c>
      <c r="R63" s="72" t="s">
        <v>142</v>
      </c>
    </row>
    <row r="64" spans="1:18" x14ac:dyDescent="0.35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0" t="s">
        <v>221</v>
      </c>
      <c r="Q64" s="72" t="s">
        <v>222</v>
      </c>
      <c r="R64" s="72" t="s">
        <v>142</v>
      </c>
    </row>
    <row r="65" spans="1:18" x14ac:dyDescent="0.35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0" t="s">
        <v>223</v>
      </c>
      <c r="Q65" s="72" t="s">
        <v>224</v>
      </c>
      <c r="R65" s="72" t="s">
        <v>145</v>
      </c>
    </row>
    <row r="66" spans="1:18" x14ac:dyDescent="0.35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0" t="s">
        <v>225</v>
      </c>
      <c r="Q66" s="72" t="s">
        <v>226</v>
      </c>
      <c r="R66" s="72" t="s">
        <v>139</v>
      </c>
    </row>
    <row r="67" spans="1:18" x14ac:dyDescent="0.35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0" t="s">
        <v>227</v>
      </c>
      <c r="Q67" s="72" t="s">
        <v>228</v>
      </c>
      <c r="R67" s="72" t="s">
        <v>142</v>
      </c>
    </row>
    <row r="68" spans="1:18" x14ac:dyDescent="0.35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0" t="s">
        <v>229</v>
      </c>
      <c r="Q68" s="72" t="s">
        <v>230</v>
      </c>
      <c r="R68" s="72" t="s">
        <v>142</v>
      </c>
    </row>
    <row r="69" spans="1:18" x14ac:dyDescent="0.35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0" t="s">
        <v>231</v>
      </c>
      <c r="Q69" s="72" t="s">
        <v>232</v>
      </c>
      <c r="R69" s="72" t="s">
        <v>142</v>
      </c>
    </row>
    <row r="70" spans="1:18" x14ac:dyDescent="0.35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0" t="s">
        <v>233</v>
      </c>
      <c r="Q70" s="72" t="s">
        <v>234</v>
      </c>
      <c r="R70" s="72" t="s">
        <v>142</v>
      </c>
    </row>
    <row r="71" spans="1:18" x14ac:dyDescent="0.35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0" t="s">
        <v>235</v>
      </c>
      <c r="Q71" s="72" t="s">
        <v>236</v>
      </c>
      <c r="R71" s="72" t="s">
        <v>145</v>
      </c>
    </row>
    <row r="72" spans="1:18" x14ac:dyDescent="0.35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0" t="s">
        <v>237</v>
      </c>
      <c r="Q72" s="72" t="s">
        <v>238</v>
      </c>
      <c r="R72" s="72" t="s">
        <v>139</v>
      </c>
    </row>
    <row r="73" spans="1:18" x14ac:dyDescent="0.35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0" t="s">
        <v>239</v>
      </c>
      <c r="Q73" s="72" t="s">
        <v>240</v>
      </c>
      <c r="R73" s="72" t="s">
        <v>145</v>
      </c>
    </row>
    <row r="74" spans="1:18" x14ac:dyDescent="0.35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0" t="s">
        <v>241</v>
      </c>
      <c r="Q74" s="72" t="s">
        <v>242</v>
      </c>
      <c r="R74" s="72" t="s">
        <v>142</v>
      </c>
    </row>
    <row r="75" spans="1:18" x14ac:dyDescent="0.35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0" t="s">
        <v>243</v>
      </c>
      <c r="Q75" s="72" t="s">
        <v>244</v>
      </c>
      <c r="R75" s="72" t="s">
        <v>139</v>
      </c>
    </row>
    <row r="76" spans="1:18" x14ac:dyDescent="0.35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0" t="s">
        <v>245</v>
      </c>
      <c r="Q76" s="72" t="s">
        <v>246</v>
      </c>
      <c r="R76" s="72" t="s">
        <v>150</v>
      </c>
    </row>
    <row r="77" spans="1:18" x14ac:dyDescent="0.35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0" t="s">
        <v>247</v>
      </c>
      <c r="Q77" s="72" t="s">
        <v>248</v>
      </c>
      <c r="R77" s="72" t="s">
        <v>145</v>
      </c>
    </row>
    <row r="78" spans="1:18" x14ac:dyDescent="0.35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0" t="s">
        <v>249</v>
      </c>
      <c r="Q78" s="72" t="s">
        <v>250</v>
      </c>
      <c r="R78" s="72" t="s">
        <v>145</v>
      </c>
    </row>
    <row r="79" spans="1:18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</row>
    <row r="80" spans="1:18" x14ac:dyDescent="0.35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</row>
    <row r="81" spans="1:14" x14ac:dyDescent="0.35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</row>
    <row r="82" spans="1:14" x14ac:dyDescent="0.35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</row>
    <row r="83" spans="1:14" x14ac:dyDescent="0.3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</row>
    <row r="84" spans="1:14" x14ac:dyDescent="0.3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</row>
    <row r="85" spans="1:14" x14ac:dyDescent="0.3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</row>
    <row r="86" spans="1:14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</row>
    <row r="87" spans="1:14" x14ac:dyDescent="0.3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</row>
    <row r="88" spans="1:14" x14ac:dyDescent="0.3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</row>
    <row r="89" spans="1:14" x14ac:dyDescent="0.3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</row>
    <row r="90" spans="1:14" x14ac:dyDescent="0.3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</row>
    <row r="91" spans="1:14" x14ac:dyDescent="0.35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</row>
    <row r="92" spans="1:14" x14ac:dyDescent="0.35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</row>
    <row r="93" spans="1:14" x14ac:dyDescent="0.35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</row>
    <row r="94" spans="1:14" x14ac:dyDescent="0.35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</row>
    <row r="95" spans="1:14" x14ac:dyDescent="0.35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</row>
    <row r="96" spans="1:14" x14ac:dyDescent="0.35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</row>
    <row r="97" spans="1:14" x14ac:dyDescent="0.35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</row>
    <row r="98" spans="1:14" x14ac:dyDescent="0.35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</row>
    <row r="99" spans="1:14" x14ac:dyDescent="0.35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</row>
    <row r="100" spans="1:14" x14ac:dyDescent="0.35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</row>
    <row r="101" spans="1:14" x14ac:dyDescent="0.35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</row>
    <row r="102" spans="1:14" x14ac:dyDescent="0.35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</row>
    <row r="103" spans="1:14" x14ac:dyDescent="0.35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</row>
    <row r="104" spans="1:14" x14ac:dyDescent="0.35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</row>
    <row r="105" spans="1:14" x14ac:dyDescent="0.35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</row>
    <row r="106" spans="1:14" x14ac:dyDescent="0.35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</row>
    <row r="107" spans="1:14" x14ac:dyDescent="0.35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</row>
    <row r="108" spans="1:14" x14ac:dyDescent="0.35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</row>
    <row r="109" spans="1:14" x14ac:dyDescent="0.35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</row>
    <row r="110" spans="1:14" x14ac:dyDescent="0.35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</row>
    <row r="111" spans="1:14" x14ac:dyDescent="0.35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</row>
    <row r="112" spans="1:14" x14ac:dyDescent="0.35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</row>
    <row r="113" spans="1:14" x14ac:dyDescent="0.35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</row>
    <row r="114" spans="1:14" x14ac:dyDescent="0.35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</row>
    <row r="115" spans="1:14" x14ac:dyDescent="0.35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</row>
    <row r="116" spans="1:14" x14ac:dyDescent="0.35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</row>
    <row r="117" spans="1:14" x14ac:dyDescent="0.35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</row>
    <row r="118" spans="1:14" x14ac:dyDescent="0.35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</row>
    <row r="119" spans="1:14" x14ac:dyDescent="0.35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</row>
    <row r="120" spans="1:14" x14ac:dyDescent="0.35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</row>
    <row r="121" spans="1:14" x14ac:dyDescent="0.35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</row>
    <row r="122" spans="1:14" x14ac:dyDescent="0.35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</row>
    <row r="123" spans="1:14" x14ac:dyDescent="0.35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</row>
    <row r="124" spans="1:14" x14ac:dyDescent="0.35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</row>
    <row r="125" spans="1:14" x14ac:dyDescent="0.35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</row>
    <row r="126" spans="1:14" x14ac:dyDescent="0.35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</row>
    <row r="127" spans="1:14" x14ac:dyDescent="0.35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</row>
    <row r="128" spans="1:14" x14ac:dyDescent="0.35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</row>
    <row r="129" spans="1:14" x14ac:dyDescent="0.35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</row>
    <row r="130" spans="1:14" x14ac:dyDescent="0.35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</row>
    <row r="131" spans="1:14" x14ac:dyDescent="0.35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</row>
    <row r="132" spans="1:14" x14ac:dyDescent="0.35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</row>
    <row r="133" spans="1:14" x14ac:dyDescent="0.35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</row>
    <row r="134" spans="1:14" x14ac:dyDescent="0.35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</row>
    <row r="135" spans="1:14" x14ac:dyDescent="0.35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</row>
    <row r="136" spans="1:14" x14ac:dyDescent="0.35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</row>
    <row r="137" spans="1:14" x14ac:dyDescent="0.35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</row>
    <row r="138" spans="1:14" x14ac:dyDescent="0.35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</row>
    <row r="139" spans="1:14" x14ac:dyDescent="0.35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</row>
    <row r="140" spans="1:14" x14ac:dyDescent="0.35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</row>
    <row r="141" spans="1:14" x14ac:dyDescent="0.35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</row>
    <row r="142" spans="1:14" x14ac:dyDescent="0.35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</row>
    <row r="143" spans="1:14" x14ac:dyDescent="0.35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</row>
    <row r="144" spans="1:14" x14ac:dyDescent="0.35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</row>
    <row r="145" spans="1:14" x14ac:dyDescent="0.35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</row>
    <row r="146" spans="1:14" x14ac:dyDescent="0.35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</row>
    <row r="147" spans="1:14" x14ac:dyDescent="0.35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</row>
    <row r="148" spans="1:14" x14ac:dyDescent="0.35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</row>
    <row r="149" spans="1:14" x14ac:dyDescent="0.35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</row>
    <row r="150" spans="1:14" x14ac:dyDescent="0.35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</row>
    <row r="151" spans="1:14" x14ac:dyDescent="0.35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</row>
    <row r="152" spans="1:14" x14ac:dyDescent="0.35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</row>
    <row r="153" spans="1:14" x14ac:dyDescent="0.35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</row>
    <row r="154" spans="1:14" x14ac:dyDescent="0.35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</row>
    <row r="155" spans="1:14" x14ac:dyDescent="0.35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</row>
    <row r="156" spans="1:14" x14ac:dyDescent="0.35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</row>
    <row r="157" spans="1:14" x14ac:dyDescent="0.35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</row>
    <row r="158" spans="1:14" x14ac:dyDescent="0.35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</row>
    <row r="159" spans="1:14" x14ac:dyDescent="0.35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</row>
    <row r="160" spans="1:14" x14ac:dyDescent="0.35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</row>
    <row r="161" spans="1:14" x14ac:dyDescent="0.35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</row>
    <row r="162" spans="1:14" x14ac:dyDescent="0.35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</row>
    <row r="163" spans="1:14" x14ac:dyDescent="0.35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</row>
    <row r="164" spans="1:14" x14ac:dyDescent="0.35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</row>
    <row r="165" spans="1:14" x14ac:dyDescent="0.35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</row>
    <row r="166" spans="1:14" x14ac:dyDescent="0.35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</row>
    <row r="167" spans="1:14" x14ac:dyDescent="0.35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</row>
    <row r="168" spans="1:14" x14ac:dyDescent="0.35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</row>
    <row r="169" spans="1:14" x14ac:dyDescent="0.35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</row>
    <row r="170" spans="1:14" x14ac:dyDescent="0.35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</row>
    <row r="171" spans="1:14" x14ac:dyDescent="0.35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</row>
    <row r="172" spans="1:14" x14ac:dyDescent="0.35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</row>
    <row r="173" spans="1:14" x14ac:dyDescent="0.35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</row>
    <row r="174" spans="1:14" x14ac:dyDescent="0.35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</row>
    <row r="175" spans="1:14" x14ac:dyDescent="0.35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</row>
    <row r="176" spans="1:14" x14ac:dyDescent="0.35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</row>
    <row r="177" spans="1:14" x14ac:dyDescent="0.35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</row>
    <row r="178" spans="1:14" x14ac:dyDescent="0.35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</row>
    <row r="179" spans="1:14" x14ac:dyDescent="0.35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</row>
    <row r="180" spans="1:14" x14ac:dyDescent="0.35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</row>
    <row r="181" spans="1:14" x14ac:dyDescent="0.35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</row>
    <row r="182" spans="1:14" x14ac:dyDescent="0.35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</row>
    <row r="183" spans="1:14" x14ac:dyDescent="0.35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</row>
    <row r="184" spans="1:14" x14ac:dyDescent="0.35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</row>
    <row r="185" spans="1:14" x14ac:dyDescent="0.35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</row>
    <row r="186" spans="1:14" x14ac:dyDescent="0.35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</row>
    <row r="187" spans="1:14" x14ac:dyDescent="0.35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</row>
    <row r="188" spans="1:14" x14ac:dyDescent="0.35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</row>
    <row r="189" spans="1:14" x14ac:dyDescent="0.35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</row>
    <row r="190" spans="1:14" x14ac:dyDescent="0.35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</row>
    <row r="191" spans="1:14" x14ac:dyDescent="0.35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</row>
    <row r="192" spans="1:14" x14ac:dyDescent="0.35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</row>
    <row r="193" spans="1:14" x14ac:dyDescent="0.35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</row>
    <row r="194" spans="1:14" x14ac:dyDescent="0.35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</row>
    <row r="195" spans="1:14" x14ac:dyDescent="0.35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</row>
    <row r="196" spans="1:14" x14ac:dyDescent="0.35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</row>
    <row r="197" spans="1:14" x14ac:dyDescent="0.35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</row>
    <row r="198" spans="1:14" x14ac:dyDescent="0.35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</row>
    <row r="199" spans="1:14" x14ac:dyDescent="0.35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</row>
    <row r="200" spans="1:14" x14ac:dyDescent="0.35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</row>
    <row r="201" spans="1:14" x14ac:dyDescent="0.35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</row>
    <row r="202" spans="1:14" x14ac:dyDescent="0.35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</row>
    <row r="203" spans="1:14" x14ac:dyDescent="0.35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</row>
    <row r="204" spans="1:14" x14ac:dyDescent="0.35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</row>
    <row r="205" spans="1:14" x14ac:dyDescent="0.35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</row>
    <row r="206" spans="1:14" x14ac:dyDescent="0.35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</row>
    <row r="207" spans="1:14" x14ac:dyDescent="0.35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</row>
    <row r="208" spans="1:14" x14ac:dyDescent="0.35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</row>
    <row r="209" spans="1:14" x14ac:dyDescent="0.35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</row>
    <row r="210" spans="1:14" x14ac:dyDescent="0.35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</row>
    <row r="211" spans="1:14" ht="14.5" customHeight="1" x14ac:dyDescent="0.35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</row>
    <row r="212" spans="1:14" ht="14.5" customHeight="1" x14ac:dyDescent="0.35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</row>
    <row r="213" spans="1:14" x14ac:dyDescent="0.35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</row>
    <row r="214" spans="1:14" x14ac:dyDescent="0.35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</row>
    <row r="215" spans="1:14" x14ac:dyDescent="0.35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</row>
    <row r="216" spans="1:14" x14ac:dyDescent="0.35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</row>
    <row r="217" spans="1:14" x14ac:dyDescent="0.35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</row>
    <row r="218" spans="1:14" x14ac:dyDescent="0.35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</row>
    <row r="219" spans="1:14" x14ac:dyDescent="0.35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</row>
    <row r="220" spans="1:14" x14ac:dyDescent="0.35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</row>
    <row r="221" spans="1:14" x14ac:dyDescent="0.35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</row>
    <row r="222" spans="1:14" x14ac:dyDescent="0.35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</row>
    <row r="223" spans="1:14" x14ac:dyDescent="0.35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</row>
    <row r="224" spans="1:14" x14ac:dyDescent="0.35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</row>
    <row r="225" spans="1:14" x14ac:dyDescent="0.35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</row>
    <row r="226" spans="1:14" x14ac:dyDescent="0.35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</row>
    <row r="227" spans="1:14" x14ac:dyDescent="0.35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</row>
    <row r="228" spans="1:14" x14ac:dyDescent="0.35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</row>
    <row r="229" spans="1:14" x14ac:dyDescent="0.35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</row>
    <row r="230" spans="1:14" x14ac:dyDescent="0.35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</row>
    <row r="231" spans="1:14" x14ac:dyDescent="0.35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</row>
    <row r="232" spans="1:14" x14ac:dyDescent="0.35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</row>
    <row r="233" spans="1:14" x14ac:dyDescent="0.35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</row>
    <row r="234" spans="1:14" x14ac:dyDescent="0.35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</row>
    <row r="235" spans="1:14" x14ac:dyDescent="0.35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</row>
    <row r="236" spans="1:14" x14ac:dyDescent="0.35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</row>
    <row r="237" spans="1:14" x14ac:dyDescent="0.35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</row>
    <row r="238" spans="1:14" x14ac:dyDescent="0.35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</row>
    <row r="239" spans="1:14" x14ac:dyDescent="0.35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</row>
    <row r="240" spans="1:14" x14ac:dyDescent="0.35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</row>
    <row r="241" spans="1:14" x14ac:dyDescent="0.35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</row>
    <row r="242" spans="1:14" x14ac:dyDescent="0.35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</row>
    <row r="243" spans="1:14" x14ac:dyDescent="0.35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</row>
    <row r="244" spans="1:14" x14ac:dyDescent="0.35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</row>
    <row r="245" spans="1:14" x14ac:dyDescent="0.35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</row>
    <row r="246" spans="1:14" x14ac:dyDescent="0.35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</row>
    <row r="247" spans="1:14" x14ac:dyDescent="0.35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</row>
    <row r="248" spans="1:14" x14ac:dyDescent="0.35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</row>
    <row r="249" spans="1:14" x14ac:dyDescent="0.35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</row>
    <row r="250" spans="1:14" x14ac:dyDescent="0.35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</row>
    <row r="251" spans="1:14" x14ac:dyDescent="0.35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</row>
    <row r="252" spans="1:14" x14ac:dyDescent="0.35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</row>
    <row r="253" spans="1:14" x14ac:dyDescent="0.35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</row>
    <row r="254" spans="1:14" x14ac:dyDescent="0.35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</row>
    <row r="255" spans="1:14" x14ac:dyDescent="0.35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</row>
    <row r="256" spans="1:14" x14ac:dyDescent="0.35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</row>
    <row r="257" spans="1:14" x14ac:dyDescent="0.35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</row>
    <row r="258" spans="1:14" x14ac:dyDescent="0.35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</row>
    <row r="259" spans="1:14" x14ac:dyDescent="0.35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</row>
    <row r="260" spans="1:14" x14ac:dyDescent="0.35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</row>
    <row r="261" spans="1:14" x14ac:dyDescent="0.35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</row>
    <row r="262" spans="1:14" x14ac:dyDescent="0.35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</row>
    <row r="263" spans="1:14" x14ac:dyDescent="0.35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</row>
    <row r="264" spans="1:14" x14ac:dyDescent="0.35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</row>
    <row r="265" spans="1:14" x14ac:dyDescent="0.35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</row>
    <row r="266" spans="1:14" x14ac:dyDescent="0.35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</row>
    <row r="267" spans="1:14" x14ac:dyDescent="0.35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</row>
    <row r="268" spans="1:14" x14ac:dyDescent="0.35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</row>
    <row r="269" spans="1:14" x14ac:dyDescent="0.35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</row>
    <row r="270" spans="1:14" x14ac:dyDescent="0.35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</row>
    <row r="271" spans="1:14" x14ac:dyDescent="0.35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</row>
    <row r="272" spans="1:14" x14ac:dyDescent="0.35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</row>
    <row r="273" spans="1:14" x14ac:dyDescent="0.35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</row>
    <row r="274" spans="1:14" x14ac:dyDescent="0.35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</row>
    <row r="275" spans="1:14" x14ac:dyDescent="0.35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</row>
    <row r="276" spans="1:14" x14ac:dyDescent="0.35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</row>
    <row r="277" spans="1:14" x14ac:dyDescent="0.35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</row>
    <row r="278" spans="1:14" x14ac:dyDescent="0.35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</row>
    <row r="279" spans="1:14" x14ac:dyDescent="0.35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</row>
    <row r="280" spans="1:14" x14ac:dyDescent="0.35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</row>
    <row r="281" spans="1:14" x14ac:dyDescent="0.35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</row>
    <row r="282" spans="1:14" x14ac:dyDescent="0.35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</row>
    <row r="283" spans="1:14" x14ac:dyDescent="0.35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</row>
    <row r="284" spans="1:14" x14ac:dyDescent="0.35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</row>
    <row r="285" spans="1:14" x14ac:dyDescent="0.35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</row>
    <row r="286" spans="1:14" x14ac:dyDescent="0.35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</row>
    <row r="287" spans="1:14" x14ac:dyDescent="0.35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</row>
    <row r="288" spans="1:14" x14ac:dyDescent="0.35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</row>
    <row r="289" spans="1:14" x14ac:dyDescent="0.35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</row>
    <row r="290" spans="1:14" x14ac:dyDescent="0.35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</row>
    <row r="291" spans="1:14" x14ac:dyDescent="0.35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</row>
  </sheetData>
  <sheetProtection algorithmName="SHA-512" hashValue="Xn5KWWk/Qp/h5sokJZEtwF102MEitXU+6wyhtjxD56/c4S4DgAEzkgKAHLA2z1QZeIwUHu+COIUfNqBPOD2d8w==" saltValue="Om+NizCdNjezITmReebrYA==" spinCount="100000" sheet="1" objects="1" scenarios="1"/>
  <mergeCells count="14">
    <mergeCell ref="A23:C23"/>
    <mergeCell ref="H24:N24"/>
    <mergeCell ref="J16:M16"/>
    <mergeCell ref="J17:M17"/>
    <mergeCell ref="F18:H18"/>
    <mergeCell ref="J18:M18"/>
    <mergeCell ref="J19:M19"/>
    <mergeCell ref="H21:K21"/>
    <mergeCell ref="J15:M15"/>
    <mergeCell ref="A1:L2"/>
    <mergeCell ref="I4:L4"/>
    <mergeCell ref="E10:J10"/>
    <mergeCell ref="C13:E13"/>
    <mergeCell ref="J14:M14"/>
  </mergeCells>
  <conditionalFormatting sqref="H23">
    <cfRule type="containsErrors" dxfId="18" priority="2">
      <formula>ISERROR(H23)</formula>
    </cfRule>
  </conditionalFormatting>
  <conditionalFormatting sqref="H24:N24">
    <cfRule type="containsErrors" dxfId="17" priority="1">
      <formula>ISERROR(H24)</formula>
    </cfRule>
  </conditionalFormatting>
  <conditionalFormatting sqref="I4:L4">
    <cfRule type="containsText" dxfId="16" priority="5" operator="containsText" text="დაბალი">
      <formula>NOT(ISERROR(SEARCH("დაბალი",I4)))</formula>
    </cfRule>
    <cfRule type="containsText" dxfId="15" priority="6" operator="containsText" text="მაღალი რისკის რეგიონი">
      <formula>NOT(ISERROR(SEARCH("მაღალი რისკის რეგიონი",I4)))</formula>
    </cfRule>
    <cfRule type="containsText" dxfId="14" priority="7" operator="containsText" text="ძალიან">
      <formula>NOT(ISERROR(SEARCH("ძალიან",I4)))</formula>
    </cfRule>
    <cfRule type="containsText" dxfId="13" priority="8" operator="containsText" text="ზომიერი">
      <formula>NOT(ISERROR(SEARCH("ზომიერი",I4)))</formula>
    </cfRule>
  </conditionalFormatting>
  <conditionalFormatting sqref="L21">
    <cfRule type="containsErrors" dxfId="12" priority="3">
      <formula>ISERROR(L21)</formula>
    </cfRule>
    <cfRule type="colorScale" priority="4">
      <colorScale>
        <cfvo type="num" val="0"/>
        <cfvo type="num" val="19"/>
        <cfvo type="num" val="20"/>
        <color theme="9" tint="0.39997558519241921"/>
        <color theme="7" tint="0.79998168889431442"/>
        <color rgb="FFFF7C80"/>
      </colorScale>
    </cfRule>
  </conditionalFormatting>
  <hyperlinks>
    <hyperlink ref="H24:N24" location="TOD!A1" display="TOD!A1" xr:uid="{B92DE1B4-F344-4218-87F2-A91D64C8AFA0}"/>
    <hyperlink ref="A1:L2" location="Main!A1" display="SCORE2-Diabetes calculator" xr:uid="{3167A90D-E96D-437C-9751-4FF36A8965BB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Drop Down 1">
              <controlPr defaultSize="0" autoLine="0" autoPict="0">
                <anchor moveWithCells="1">
                  <from>
                    <xdr:col>5</xdr:col>
                    <xdr:colOff>323850</xdr:colOff>
                    <xdr:row>2</xdr:row>
                    <xdr:rowOff>152400</xdr:rowOff>
                  </from>
                  <to>
                    <xdr:col>8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6704E-213C-45A2-99C3-C501D7CFE8E1}">
  <dimension ref="A1:B17"/>
  <sheetViews>
    <sheetView workbookViewId="0">
      <selection activeCell="B13" sqref="B13"/>
    </sheetView>
  </sheetViews>
  <sheetFormatPr defaultRowHeight="14.5" x14ac:dyDescent="0.35"/>
  <cols>
    <col min="1" max="1" width="35.08984375" style="87" customWidth="1"/>
    <col min="2" max="2" width="19.7265625" style="87" customWidth="1"/>
  </cols>
  <sheetData>
    <row r="1" spans="1:2" ht="29" x14ac:dyDescent="0.35">
      <c r="A1" s="86" t="s">
        <v>251</v>
      </c>
      <c r="B1" s="86" t="s">
        <v>252</v>
      </c>
    </row>
    <row r="2" spans="1:2" x14ac:dyDescent="0.35">
      <c r="A2" s="87" t="s">
        <v>253</v>
      </c>
      <c r="B2" s="87" t="s">
        <v>122</v>
      </c>
    </row>
    <row r="3" spans="1:2" x14ac:dyDescent="0.35">
      <c r="A3" s="87" t="s">
        <v>254</v>
      </c>
      <c r="B3" s="87" t="str">
        <f>'SCORE2-Diabetes'!O9</f>
        <v/>
      </c>
    </row>
    <row r="4" spans="1:2" x14ac:dyDescent="0.35">
      <c r="A4" s="88" t="s">
        <v>255</v>
      </c>
      <c r="B4" s="87">
        <f>'SCORE2-Diabetes'!F7</f>
        <v>0</v>
      </c>
    </row>
    <row r="5" spans="1:2" x14ac:dyDescent="0.35">
      <c r="A5" s="88" t="s">
        <v>256</v>
      </c>
      <c r="B5" s="87">
        <f>'SCORE2-Diabetes'!K10</f>
        <v>30</v>
      </c>
    </row>
    <row r="6" spans="1:2" x14ac:dyDescent="0.35">
      <c r="A6" s="88" t="s">
        <v>257</v>
      </c>
      <c r="B6" s="87" t="str">
        <f>'SCORE2-Diabetes'!P9</f>
        <v/>
      </c>
    </row>
    <row r="7" spans="1:2" x14ac:dyDescent="0.35">
      <c r="A7" s="88" t="s">
        <v>258</v>
      </c>
      <c r="B7" s="87">
        <f>'SCORE2-Diabetes'!H16</f>
        <v>0</v>
      </c>
    </row>
    <row r="8" spans="1:2" x14ac:dyDescent="0.35">
      <c r="A8" s="88" t="s">
        <v>259</v>
      </c>
      <c r="B8" s="87">
        <f>'SCORE2-Diabetes'!N14</f>
        <v>0</v>
      </c>
    </row>
    <row r="9" spans="1:2" x14ac:dyDescent="0.35">
      <c r="A9" s="88" t="s">
        <v>260</v>
      </c>
      <c r="B9" s="87">
        <f>'SCORE2-Diabetes'!N16</f>
        <v>0</v>
      </c>
    </row>
    <row r="10" spans="1:2" x14ac:dyDescent="0.35">
      <c r="A10" s="88" t="s">
        <v>261</v>
      </c>
      <c r="B10" s="87">
        <f>'SCORE2-Diabetes'!N18</f>
        <v>0</v>
      </c>
    </row>
    <row r="11" spans="1:2" x14ac:dyDescent="0.35">
      <c r="A11" s="88" t="s">
        <v>262</v>
      </c>
      <c r="B11" s="87" t="str">
        <f>'SCORE2-Diabetes'!D21</f>
        <v/>
      </c>
    </row>
    <row r="12" spans="1:2" ht="15" thickBot="1" x14ac:dyDescent="0.4"/>
    <row r="13" spans="1:2" ht="15" thickBot="1" x14ac:dyDescent="0.4">
      <c r="A13" s="89" t="s">
        <v>263</v>
      </c>
      <c r="B13" s="90" t="e">
        <f>IF(AND(B3="Male",B2="Low risk region"),values!D14,IF(AND(B3="Male",B2="Moderate risk region"),values!D15,IF(AND(B3="Male",B2="High risk region"),values!D16,IF(AND(B3="Male",B2="Very high risk region"),values!D17,IF(AND(B3="Female",B2="Low risk region"),values!H14,IF(AND(B3="Female",B2="Moderate risk region"),values!H15,IF(AND(B3="Female",B2="High risk region"),values!H16,values!H17)))))))</f>
        <v>#VALUE!</v>
      </c>
    </row>
    <row r="15" spans="1:2" x14ac:dyDescent="0.35">
      <c r="B15" s="91"/>
    </row>
    <row r="17" spans="2:2" x14ac:dyDescent="0.35">
      <c r="B17" s="92"/>
    </row>
  </sheetData>
  <sheetProtection algorithmName="SHA-512" hashValue="2+me/uNV5kkYyENvXuT+UpPDks4hE5KfvCYdHTMknbckmeOl+EMGlT4h1ljBhyMwogdxeQ+l5tYZPG2PwdrbJA==" saltValue="I3oH7VYL3mL9SCPb54Ul9g==" spinCount="100000" sheet="1" objects="1" scenarios="1"/>
  <conditionalFormatting sqref="B13:B16">
    <cfRule type="colorScale" priority="1">
      <colorScale>
        <cfvo type="num" val="0"/>
        <cfvo type="num" val="19"/>
        <cfvo type="num" val="20"/>
        <color theme="9" tint="0.59996337778862885"/>
        <color rgb="FFFFEB84"/>
        <color rgb="FFF67275"/>
      </colorScale>
    </cfRule>
  </conditionalFormatting>
  <dataValidations count="10">
    <dataValidation type="list" showInputMessage="1" showErrorMessage="1" sqref="B2" xr:uid="{CB9D62B6-2E1F-44C6-95EC-F41AEAD8D313}">
      <formula1>"Low risk region, Moderate risk region, High risk region, Very high risk region"</formula1>
    </dataValidation>
    <dataValidation type="list" allowBlank="1" showInputMessage="1" showErrorMessage="1" sqref="B3" xr:uid="{DE54BE38-DB48-4882-8E9F-C64D6D05B378}">
      <formula1>"Male, Female"</formula1>
    </dataValidation>
    <dataValidation type="list" allowBlank="1" showInputMessage="1" showErrorMessage="1" sqref="B6" xr:uid="{FEBBA38C-070D-4716-AFE0-6A1277B0956E}">
      <formula1>"yes, no"</formula1>
    </dataValidation>
    <dataValidation type="whole" allowBlank="1" showInputMessage="1" showErrorMessage="1" errorTitle="Invalid value:" error="Please enter a value between the displayed range" promptTitle="Valid values:" prompt="40 to 69 years" sqref="B4" xr:uid="{501D8733-78E3-4227-B00C-1508D6AD3D81}">
      <formula1>40</formula1>
      <formula2>69</formula2>
    </dataValidation>
    <dataValidation type="decimal" allowBlank="1" showInputMessage="1" showErrorMessage="1" errorTitle="Invalid value:" error="Please enter a value between the displayed range" promptTitle="Valid values:" prompt="30 years to current age" sqref="B5" xr:uid="{DC9F5F64-A4AC-4945-81E5-2AB2D988A14D}">
      <formula1>30</formula1>
      <formula2>B4</formula2>
    </dataValidation>
    <dataValidation type="decimal" allowBlank="1" showInputMessage="1" showErrorMessage="1" errorTitle="Invalid value:" error="Please enter a value between the displayed range" promptTitle="Valid values:" prompt="100 to 200 mmHg" sqref="B7" xr:uid="{9CB0635A-EA51-472C-9318-4DE535C1C91E}">
      <formula1>100</formula1>
      <formula2>200</formula2>
    </dataValidation>
    <dataValidation type="decimal" allowBlank="1" showInputMessage="1" showErrorMessage="1" errorTitle="Invalid value:" error="Please enter a value between the displayed range" promptTitle="Valid values" prompt="3 to 10 mmol/L" sqref="B8" xr:uid="{4B4AE14C-12AC-4A19-88D2-5ABF02C673FA}">
      <formula1>3</formula1>
      <formula2>10</formula2>
    </dataValidation>
    <dataValidation type="decimal" allowBlank="1" showInputMessage="1" showErrorMessage="1" errorTitle="Invalid value:" error="Please enter a value between the displayed range" promptTitle="Valid values:" prompt="0.5 to 3 mmol/L" sqref="B9" xr:uid="{48EA9A65-654E-4261-9B54-7C82833B3B72}">
      <formula1>0.5</formula1>
      <formula2>3</formula2>
    </dataValidation>
    <dataValidation type="decimal" allowBlank="1" showInputMessage="1" showErrorMessage="1" errorTitle="Invalid value:" error="Please enter a value between the displayed range" promptTitle="Valid values:" prompt="1 to 150 mmol/mol" sqref="B10" xr:uid="{533F13A2-2445-4CED-BEB9-3FDBF7790462}">
      <formula1>1</formula1>
      <formula2>150</formula2>
    </dataValidation>
    <dataValidation type="decimal" allowBlank="1" showInputMessage="1" showErrorMessage="1" errorTitle="Invalid value:" error="Please enter a value between the displayed range" promptTitle="Valid values:" prompt="15 to 120 ml/min/1.73m^2" sqref="B11" xr:uid="{24F92995-EB64-41C7-8A70-67F535B83A5D}">
      <formula1>15</formula1>
      <formula2>120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FCF7-1123-4070-9A0F-5CA47BB19434}">
  <dimension ref="A1:K17"/>
  <sheetViews>
    <sheetView workbookViewId="0">
      <selection activeCell="B12" sqref="B12"/>
    </sheetView>
  </sheetViews>
  <sheetFormatPr defaultRowHeight="14.5" x14ac:dyDescent="0.35"/>
  <cols>
    <col min="1" max="1" width="25.26953125" style="95" customWidth="1"/>
    <col min="2" max="3" width="8.7265625" style="95"/>
    <col min="4" max="4" width="10.7265625" style="95" customWidth="1"/>
    <col min="5" max="7" width="8.7265625" style="95"/>
    <col min="8" max="8" width="12.08984375" style="95" customWidth="1"/>
    <col min="9" max="11" width="8.7265625" style="95"/>
  </cols>
  <sheetData>
    <row r="1" spans="1:11" ht="26" x14ac:dyDescent="0.35">
      <c r="A1" s="93"/>
      <c r="B1" s="94" t="s">
        <v>264</v>
      </c>
      <c r="C1" s="94" t="s">
        <v>265</v>
      </c>
      <c r="D1" s="94" t="s">
        <v>266</v>
      </c>
      <c r="E1" s="255" t="s">
        <v>267</v>
      </c>
      <c r="F1" s="255"/>
      <c r="G1" s="255"/>
      <c r="H1" s="94" t="s">
        <v>268</v>
      </c>
      <c r="I1" s="255" t="s">
        <v>269</v>
      </c>
      <c r="J1" s="255"/>
      <c r="K1" s="255"/>
    </row>
    <row r="2" spans="1:11" x14ac:dyDescent="0.35">
      <c r="B2" s="96"/>
      <c r="C2" s="96"/>
      <c r="D2" s="96"/>
      <c r="E2" s="95" t="s">
        <v>270</v>
      </c>
      <c r="F2" s="95" t="s">
        <v>271</v>
      </c>
      <c r="G2" s="93" t="s">
        <v>272</v>
      </c>
      <c r="H2" s="93"/>
      <c r="I2" s="95" t="s">
        <v>273</v>
      </c>
      <c r="J2" s="95" t="s">
        <v>271</v>
      </c>
      <c r="K2" s="95" t="s">
        <v>272</v>
      </c>
    </row>
    <row r="3" spans="1:11" x14ac:dyDescent="0.35">
      <c r="A3" s="97" t="s">
        <v>274</v>
      </c>
      <c r="B3" s="96"/>
      <c r="C3" s="96"/>
      <c r="D3" s="96"/>
      <c r="E3" s="98">
        <v>0.64570000000000005</v>
      </c>
      <c r="F3" s="98">
        <v>-9.8299999999999998E-2</v>
      </c>
      <c r="G3" s="98"/>
      <c r="H3" s="98"/>
      <c r="I3" s="99">
        <v>0.80959999999999999</v>
      </c>
      <c r="J3" s="99">
        <v>-0.12720000000000001</v>
      </c>
      <c r="K3" s="98"/>
    </row>
    <row r="4" spans="1:11" x14ac:dyDescent="0.35">
      <c r="A4" s="97" t="s">
        <v>255</v>
      </c>
      <c r="B4" s="96">
        <f>calculator!B4</f>
        <v>0</v>
      </c>
      <c r="C4" s="96">
        <f>(B4-60)/5</f>
        <v>-12</v>
      </c>
      <c r="D4" s="96">
        <f>E3+C4*F3+C4*E4</f>
        <v>-4.6163000000000007</v>
      </c>
      <c r="E4" s="98">
        <v>0.53680000000000005</v>
      </c>
      <c r="F4" s="98"/>
      <c r="G4" s="98"/>
      <c r="H4" s="96">
        <f>I3+C4*J3+C4*I4</f>
        <v>-5.6128</v>
      </c>
      <c r="I4" s="99">
        <v>0.66239999999999999</v>
      </c>
      <c r="J4" s="98"/>
      <c r="K4" s="98"/>
    </row>
    <row r="5" spans="1:11" x14ac:dyDescent="0.35">
      <c r="A5" s="97" t="s">
        <v>256</v>
      </c>
      <c r="B5" s="96">
        <f>calculator!B5</f>
        <v>30</v>
      </c>
      <c r="C5" s="96">
        <f>(B5-50)/5</f>
        <v>-4</v>
      </c>
      <c r="D5" s="96">
        <f>C5*E5</f>
        <v>0.3992</v>
      </c>
      <c r="E5" s="98">
        <v>-9.98E-2</v>
      </c>
      <c r="F5" s="98">
        <v>0</v>
      </c>
      <c r="G5" s="98"/>
      <c r="H5" s="96">
        <f>C5*I5</f>
        <v>0.47199999999999998</v>
      </c>
      <c r="I5" s="99">
        <v>-0.11799999999999999</v>
      </c>
      <c r="J5" s="98"/>
      <c r="K5" s="98"/>
    </row>
    <row r="6" spans="1:11" x14ac:dyDescent="0.35">
      <c r="A6" s="97" t="s">
        <v>275</v>
      </c>
      <c r="B6" s="96" t="str">
        <f>calculator!B6</f>
        <v/>
      </c>
      <c r="C6" s="96" t="str">
        <f>B6</f>
        <v/>
      </c>
      <c r="D6" s="96">
        <f>IF(B6="yes", E6+C4*F6, 0)</f>
        <v>0</v>
      </c>
      <c r="E6" s="98">
        <v>0.47739999999999999</v>
      </c>
      <c r="F6" s="98">
        <v>-6.7199999999999996E-2</v>
      </c>
      <c r="G6" s="98"/>
      <c r="H6" s="96">
        <f>IF(C6="yes", I6+C4*J6, 0)</f>
        <v>0</v>
      </c>
      <c r="I6" s="99">
        <v>0.6139</v>
      </c>
      <c r="J6" s="99">
        <v>-0.11219999999999999</v>
      </c>
      <c r="K6" s="98"/>
    </row>
    <row r="7" spans="1:11" x14ac:dyDescent="0.35">
      <c r="A7" s="97" t="s">
        <v>258</v>
      </c>
      <c r="B7" s="96">
        <f>calculator!B7</f>
        <v>0</v>
      </c>
      <c r="C7" s="96">
        <f>(B7-120)/20</f>
        <v>-6</v>
      </c>
      <c r="D7" s="96">
        <f>C7*E7+$C$4*C7*F7</f>
        <v>-2.7228000000000003</v>
      </c>
      <c r="E7" s="98">
        <v>0.13220000000000001</v>
      </c>
      <c r="F7" s="98">
        <v>-2.6800000000000001E-2</v>
      </c>
      <c r="G7" s="98"/>
      <c r="H7" s="96">
        <f>C7*I7+$C$4*C7*J7</f>
        <v>-2.0549999999999997</v>
      </c>
      <c r="I7" s="99">
        <v>0.1421</v>
      </c>
      <c r="J7" s="99">
        <v>-1.67E-2</v>
      </c>
      <c r="K7" s="98"/>
    </row>
    <row r="8" spans="1:11" x14ac:dyDescent="0.35">
      <c r="A8" s="97" t="s">
        <v>259</v>
      </c>
      <c r="B8" s="96">
        <f>calculator!B8</f>
        <v>0</v>
      </c>
      <c r="C8" s="96">
        <f>(B8-6)</f>
        <v>-6</v>
      </c>
      <c r="D8" s="96">
        <f>C8*E8+$C$4*C8*F8</f>
        <v>-1.9644000000000001</v>
      </c>
      <c r="E8" s="98">
        <v>0.11020000000000001</v>
      </c>
      <c r="F8" s="98">
        <v>-1.8100000000000002E-2</v>
      </c>
      <c r="G8" s="98"/>
      <c r="H8" s="96">
        <f>C8*I8+$C$4*C8*J8</f>
        <v>-2.1162000000000001</v>
      </c>
      <c r="I8" s="99">
        <v>0.11269999999999999</v>
      </c>
      <c r="J8" s="99">
        <v>-0.02</v>
      </c>
      <c r="K8" s="98"/>
    </row>
    <row r="9" spans="1:11" x14ac:dyDescent="0.35">
      <c r="A9" s="97" t="s">
        <v>260</v>
      </c>
      <c r="B9" s="96">
        <f>calculator!B9</f>
        <v>0</v>
      </c>
      <c r="C9" s="96">
        <f>(B9-1.3)/0.5</f>
        <v>-2.6</v>
      </c>
      <c r="D9" s="96">
        <f>C9*E9+$C$4*C9*F9</f>
        <v>0.57902000000000009</v>
      </c>
      <c r="E9" s="98">
        <v>-0.1087</v>
      </c>
      <c r="F9" s="98">
        <v>9.4999999999999998E-3</v>
      </c>
      <c r="G9" s="98"/>
      <c r="H9" s="96">
        <f>C9*I9+$C$4*C9*J9</f>
        <v>0.98799999999999999</v>
      </c>
      <c r="I9" s="99">
        <v>-0.15679999999999999</v>
      </c>
      <c r="J9" s="99">
        <v>1.8599999999999998E-2</v>
      </c>
      <c r="K9" s="98"/>
    </row>
    <row r="10" spans="1:11" x14ac:dyDescent="0.35">
      <c r="A10" s="97" t="s">
        <v>261</v>
      </c>
      <c r="B10" s="96">
        <f>calculator!B10</f>
        <v>0</v>
      </c>
      <c r="C10" s="96">
        <f>(B10-31)/9.34</f>
        <v>-3.3190578158458246</v>
      </c>
      <c r="D10" s="96">
        <f>C10*E10+$C$4*C10*F10</f>
        <v>-0.85067451820128492</v>
      </c>
      <c r="E10" s="98">
        <v>9.5500000000000002E-2</v>
      </c>
      <c r="F10" s="98">
        <v>-1.34E-2</v>
      </c>
      <c r="G10" s="98"/>
      <c r="H10" s="96">
        <f>C10*I10+$C$4*C10*J10</f>
        <v>-1.1699678800856532</v>
      </c>
      <c r="I10" s="99">
        <v>0.1173</v>
      </c>
      <c r="J10" s="99">
        <v>-1.9599999999999999E-2</v>
      </c>
      <c r="K10" s="98"/>
    </row>
    <row r="11" spans="1:11" x14ac:dyDescent="0.35">
      <c r="A11" s="97" t="s">
        <v>276</v>
      </c>
      <c r="B11" s="96" t="str">
        <f>calculator!B11</f>
        <v/>
      </c>
      <c r="C11" s="96" t="e">
        <f>(LN(B11)-4.5)/0.15</f>
        <v>#VALUE!</v>
      </c>
      <c r="D11" s="96" t="e">
        <f>C11*E11+C4*C11*F11+C11*C11*G11</f>
        <v>#VALUE!</v>
      </c>
      <c r="E11" s="98">
        <v>-5.91E-2</v>
      </c>
      <c r="F11" s="98">
        <v>1.15E-2</v>
      </c>
      <c r="G11" s="98">
        <v>5.7999999999999996E-3</v>
      </c>
      <c r="H11" s="96" t="e">
        <f>C11*I11+C4*C11*J11+C11*C11*K11</f>
        <v>#VALUE!</v>
      </c>
      <c r="I11" s="99">
        <v>-6.4000000000000001E-2</v>
      </c>
      <c r="J11" s="99">
        <v>1.6899999999999998E-2</v>
      </c>
      <c r="K11" s="98">
        <v>6.1999999999999998E-3</v>
      </c>
    </row>
    <row r="12" spans="1:11" x14ac:dyDescent="0.35">
      <c r="A12" s="97" t="s">
        <v>277</v>
      </c>
      <c r="D12" s="95" t="e">
        <f>SUM(D4:D11)</f>
        <v>#VALUE!</v>
      </c>
      <c r="F12" s="99"/>
      <c r="H12" s="95" t="e">
        <f>SUM(H4:H11)</f>
        <v>#VALUE!</v>
      </c>
    </row>
    <row r="13" spans="1:11" x14ac:dyDescent="0.35">
      <c r="A13" s="97" t="s">
        <v>278</v>
      </c>
      <c r="D13" s="95" t="e">
        <f>1-0.9605^EXP(D12)</f>
        <v>#VALUE!</v>
      </c>
      <c r="H13" s="95" t="e">
        <f>1-0.9776^EXP(H12)</f>
        <v>#VALUE!</v>
      </c>
    </row>
    <row r="14" spans="1:11" x14ac:dyDescent="0.35">
      <c r="A14" s="97" t="s">
        <v>279</v>
      </c>
      <c r="D14" s="95" t="e">
        <f>100*(1-EXP(-EXP(-0.5699+0.7476*LN(-LN(1-D13)))))</f>
        <v>#VALUE!</v>
      </c>
      <c r="H14" s="95" t="e">
        <f>100*(1-EXP(-EXP(-0.738+0.7019*LN(-LN(1-H13)))))</f>
        <v>#VALUE!</v>
      </c>
    </row>
    <row r="15" spans="1:11" x14ac:dyDescent="0.35">
      <c r="A15" s="97" t="s">
        <v>280</v>
      </c>
      <c r="D15" s="95" t="e">
        <f>100*(1-EXP(-EXP(-0.1565+0.8009*LN(-LN(1-D13)))))</f>
        <v>#VALUE!</v>
      </c>
      <c r="H15" s="95" t="e">
        <f>100*(1-EXP(-EXP(-0.3143+0.7701*LN(-LN(1-H13)))))</f>
        <v>#VALUE!</v>
      </c>
    </row>
    <row r="16" spans="1:11" x14ac:dyDescent="0.35">
      <c r="A16" s="97" t="s">
        <v>281</v>
      </c>
      <c r="D16" s="95" t="e">
        <f>100*(1-EXP(-EXP(0.3207+0.936*LN(-LN(1-D13)))))</f>
        <v>#VALUE!</v>
      </c>
      <c r="H16" s="95" t="e">
        <f>100*(1-EXP(-EXP(0.571+0.9369*LN(-LN(1-H13)))))</f>
        <v>#VALUE!</v>
      </c>
    </row>
    <row r="17" spans="1:8" x14ac:dyDescent="0.35">
      <c r="A17" s="97" t="s">
        <v>282</v>
      </c>
      <c r="D17" s="95" t="e">
        <f>100*(1-EXP(-EXP(0.5836+0.8294*LN(-LN(1-D13)))))</f>
        <v>#VALUE!</v>
      </c>
      <c r="H17" s="95" t="e">
        <f>100*(1-EXP(-EXP(0.9412+0.8329*LN(-LN(1-H13)))))</f>
        <v>#VALUE!</v>
      </c>
    </row>
  </sheetData>
  <sheetProtection algorithmName="SHA-512" hashValue="HdUvgmJb9KCPO1ZD6lZyk3uxy0yJuiSVI7Go1guDk+G5nv2SC9720T3nOOxW7ttleROrKOcLpNEO3cj7v7dUHw==" saltValue="VkH47JwGtuJpmBhtlHV4WQ==" spinCount="100000" sheet="1" objects="1" scenarios="1"/>
  <mergeCells count="2">
    <mergeCell ref="E1:G1"/>
    <mergeCell ref="I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E615-45A5-43F7-996A-FEAD38074E37}">
  <dimension ref="A1:S105"/>
  <sheetViews>
    <sheetView zoomScale="90" zoomScaleNormal="90" workbookViewId="0">
      <selection activeCell="K25" sqref="K25"/>
    </sheetView>
  </sheetViews>
  <sheetFormatPr defaultColWidth="9" defaultRowHeight="14.5" x14ac:dyDescent="0.35"/>
  <cols>
    <col min="1" max="14" width="9" style="71"/>
    <col min="15" max="19" width="9" style="72"/>
    <col min="20" max="16384" width="9" style="71"/>
  </cols>
  <sheetData>
    <row r="1" spans="1:18" ht="15" customHeight="1" x14ac:dyDescent="0.35">
      <c r="A1" s="258" t="s">
        <v>283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139"/>
    </row>
    <row r="2" spans="1:18" ht="15" customHeight="1" x14ac:dyDescent="0.3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139"/>
    </row>
    <row r="4" spans="1:18" x14ac:dyDescent="0.35">
      <c r="A4" s="100" t="s">
        <v>15</v>
      </c>
      <c r="B4" s="101" t="str">
        <f>D27</f>
        <v/>
      </c>
      <c r="C4" s="71" t="s">
        <v>284</v>
      </c>
      <c r="E4" s="254" t="s">
        <v>285</v>
      </c>
      <c r="F4" s="254"/>
      <c r="G4" s="77"/>
      <c r="H4" s="71" t="s">
        <v>286</v>
      </c>
      <c r="J4" s="102"/>
      <c r="K4" s="71" t="s">
        <v>287</v>
      </c>
      <c r="L4" s="100" t="s">
        <v>93</v>
      </c>
      <c r="M4" s="103">
        <f>J4*10</f>
        <v>0</v>
      </c>
      <c r="N4" s="71" t="s">
        <v>286</v>
      </c>
      <c r="O4" s="72" t="s">
        <v>288</v>
      </c>
      <c r="P4" s="72" t="s">
        <v>289</v>
      </c>
      <c r="Q4" s="72" t="s">
        <v>290</v>
      </c>
      <c r="R4" s="72" t="s">
        <v>291</v>
      </c>
    </row>
    <row r="5" spans="1:18" x14ac:dyDescent="0.35">
      <c r="E5" s="104" t="s">
        <v>292</v>
      </c>
      <c r="J5" s="259" t="s">
        <v>293</v>
      </c>
      <c r="K5" s="259"/>
      <c r="L5" s="246" t="s">
        <v>294</v>
      </c>
      <c r="M5" s="246"/>
      <c r="O5" s="72" t="s">
        <v>295</v>
      </c>
      <c r="P5" s="72" t="s">
        <v>296</v>
      </c>
      <c r="Q5" s="72" t="s">
        <v>297</v>
      </c>
      <c r="R5" s="105" t="s">
        <v>298</v>
      </c>
    </row>
    <row r="6" spans="1:18" x14ac:dyDescent="0.35">
      <c r="O6" s="72" t="s">
        <v>299</v>
      </c>
      <c r="P6" s="72" t="s">
        <v>300</v>
      </c>
      <c r="Q6" s="72" t="s">
        <v>301</v>
      </c>
      <c r="R6" s="72" t="s">
        <v>302</v>
      </c>
    </row>
    <row r="7" spans="1:18" x14ac:dyDescent="0.35">
      <c r="A7" s="83" t="s">
        <v>303</v>
      </c>
      <c r="B7" s="106" t="str">
        <f>IF(B4&gt;89,"G1",IF(AND(B4&gt;59,B4&lt;90),"G2",IF(AND(B4&gt;44,B4&lt;60),"G3a",IF(AND(B4&gt;29,B4&lt;45),"G3b",IF(AND(B4&gt;14,B4&lt;30),"G4",IF(B4&lt;15,"G5",""))))))</f>
        <v>G1</v>
      </c>
      <c r="F7" s="107" t="s">
        <v>303</v>
      </c>
      <c r="G7" s="106" t="str">
        <f>IF(AND(G4&gt;0,G4&lt;30),"A1",IF(AND(G4&gt;29,G4&lt;301),"A2",IF(G4&gt;300,"A3","")))</f>
        <v/>
      </c>
      <c r="O7" s="72" t="s">
        <v>304</v>
      </c>
      <c r="P7" s="72" t="s">
        <v>305</v>
      </c>
    </row>
    <row r="8" spans="1:18" x14ac:dyDescent="0.35">
      <c r="O8" s="72" t="s">
        <v>306</v>
      </c>
      <c r="P8" s="72" t="s">
        <v>307</v>
      </c>
    </row>
    <row r="9" spans="1:18" x14ac:dyDescent="0.35">
      <c r="O9" s="72" t="s">
        <v>308</v>
      </c>
      <c r="P9" s="72" t="s">
        <v>309</v>
      </c>
    </row>
    <row r="11" spans="1:18" x14ac:dyDescent="0.35">
      <c r="A11" s="254" t="s">
        <v>310</v>
      </c>
      <c r="B11" s="254"/>
      <c r="C11" s="254"/>
      <c r="D11" s="254"/>
      <c r="E11" s="254"/>
      <c r="F11" s="254"/>
      <c r="G11" s="254"/>
      <c r="H11" s="254"/>
      <c r="I11" s="260" t="str">
        <f>IF(AND(G7="A1",B7="G1"),O11,IF(AND(G7="A1",B7="G2"),O11,IF(AND(G7="A1",B7="G3a"),O12,IF(AND(G7="A1",B7="G3b"),O13,IF(AND(G7="A1",B7="G4"),O14,IF(AND(G7="A1",B7="G5"),O14,IF(AND(G7="A2",B7="G1"),O12,IF(AND(G7="A2",B7="G2"),O12,IF(AND(G7="A2",B7="G3a"),O13,IF(AND(G7="A2",B7="G3b"),O14,IF(AND(G7="A2",B7="G4"),O14,IF(AND(G7="A2",B7="G5"),O14,IF(AND(G7="A3",B7="G1"),O13,IF(AND(G7="A3",B7="G2"),O13,IF(AND(G7="A3",B7="G3a"),O14,IF(AND(G7="A3",B7="G3b"),O14,IF(AND(G7="A3",B7="G4"),O14,IF(AND(G7="A3",B7="G5"),O14,""))))))))))))))))))</f>
        <v/>
      </c>
      <c r="J11" s="260"/>
      <c r="K11" s="260"/>
      <c r="L11" s="260"/>
      <c r="M11" s="260"/>
      <c r="O11" s="72" t="s">
        <v>311</v>
      </c>
    </row>
    <row r="12" spans="1:18" x14ac:dyDescent="0.35">
      <c r="O12" s="72" t="s">
        <v>312</v>
      </c>
    </row>
    <row r="13" spans="1:18" x14ac:dyDescent="0.35">
      <c r="O13" s="72" t="s">
        <v>313</v>
      </c>
    </row>
    <row r="14" spans="1:18" x14ac:dyDescent="0.35">
      <c r="O14" s="72" t="s">
        <v>314</v>
      </c>
    </row>
    <row r="15" spans="1:18" x14ac:dyDescent="0.35">
      <c r="A15" s="258" t="s">
        <v>315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</row>
    <row r="16" spans="1:18" x14ac:dyDescent="0.35">
      <c r="A16" s="258"/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</row>
    <row r="18" spans="1:15" x14ac:dyDescent="0.35">
      <c r="A18" s="100" t="s">
        <v>2</v>
      </c>
      <c r="B18" s="115">
        <f>Anamnesis!I4</f>
        <v>0</v>
      </c>
      <c r="C18" s="71" t="s">
        <v>3</v>
      </c>
      <c r="E18" s="71" t="s">
        <v>316</v>
      </c>
      <c r="F18" s="71" t="s">
        <v>317</v>
      </c>
      <c r="H18" s="254" t="s">
        <v>318</v>
      </c>
      <c r="I18" s="254"/>
      <c r="J18" s="77">
        <v>1.5</v>
      </c>
      <c r="K18" s="71" t="s">
        <v>319</v>
      </c>
      <c r="O18" s="75">
        <f>Anamnesis!P4</f>
        <v>3</v>
      </c>
    </row>
    <row r="20" spans="1:15" x14ac:dyDescent="0.35">
      <c r="J20" s="77"/>
      <c r="K20" s="71" t="s">
        <v>320</v>
      </c>
      <c r="L20" s="100" t="s">
        <v>93</v>
      </c>
      <c r="M20" s="101">
        <f>J20/88.57</f>
        <v>0</v>
      </c>
      <c r="N20" s="71" t="s">
        <v>319</v>
      </c>
    </row>
    <row r="21" spans="1:15" x14ac:dyDescent="0.35">
      <c r="J21" s="259" t="s">
        <v>293</v>
      </c>
      <c r="K21" s="259"/>
    </row>
    <row r="22" spans="1:15" x14ac:dyDescent="0.35">
      <c r="A22" s="254" t="s">
        <v>321</v>
      </c>
      <c r="B22" s="254"/>
      <c r="C22" s="108" t="str">
        <f>IF(O18=1,O25,IF(O18=2,O26,""))</f>
        <v/>
      </c>
      <c r="D22" s="71" t="s">
        <v>284</v>
      </c>
    </row>
    <row r="24" spans="1:15" x14ac:dyDescent="0.35">
      <c r="A24" s="84" t="s">
        <v>322</v>
      </c>
      <c r="B24" s="103" t="str">
        <f>B7</f>
        <v>G1</v>
      </c>
      <c r="C24" s="248" t="str">
        <f>IF(B24="G1",O27,IF(B24="G2",O28,IF(B24="G3a",O29,IF(B24="G3b",O30,IF(B24="G4",O31,IF(B24="G5",O32,""))))))</f>
        <v>ნორმა ან მაღალი გლომერულოფილტრაციის სიჩქარე</v>
      </c>
      <c r="D24" s="248"/>
      <c r="E24" s="248"/>
      <c r="F24" s="248"/>
      <c r="G24" s="248"/>
      <c r="H24" s="248"/>
      <c r="I24" s="248"/>
      <c r="J24" s="248"/>
      <c r="O24" s="72" t="s">
        <v>323</v>
      </c>
    </row>
    <row r="25" spans="1:15" x14ac:dyDescent="0.35">
      <c r="O25" s="72" t="e">
        <f>175*(J18^(-1.154))*(B18^(-0.203))</f>
        <v>#DIV/0!</v>
      </c>
    </row>
    <row r="26" spans="1:15" ht="15" thickBot="1" x14ac:dyDescent="0.4">
      <c r="O26" s="72" t="e">
        <f>175*(J18^(-1.154))*(B18^(-0.203))*0.742</f>
        <v>#DIV/0!</v>
      </c>
    </row>
    <row r="27" spans="1:15" ht="15" thickBot="1" x14ac:dyDescent="0.4">
      <c r="A27" s="256" t="s">
        <v>324</v>
      </c>
      <c r="B27" s="257"/>
      <c r="C27" s="257"/>
      <c r="D27" s="109" t="str">
        <f>IF(AND(J18&lt;0.71,O18=2),O47,IF(AND(J18&gt;0.7,O18=2),O48,IF(AND(J18&lt;0.91,O18=1),O51,IF(AND(J18&gt;0.9,O18=1),O52,""))))</f>
        <v/>
      </c>
      <c r="E27" s="110" t="s">
        <v>284</v>
      </c>
      <c r="F27" s="111"/>
      <c r="O27" s="72" t="s">
        <v>325</v>
      </c>
    </row>
    <row r="28" spans="1:15" x14ac:dyDescent="0.35">
      <c r="O28" s="72" t="s">
        <v>326</v>
      </c>
    </row>
    <row r="29" spans="1:15" x14ac:dyDescent="0.35">
      <c r="O29" s="72" t="s">
        <v>327</v>
      </c>
    </row>
    <row r="30" spans="1:15" x14ac:dyDescent="0.35">
      <c r="O30" s="72" t="s">
        <v>328</v>
      </c>
    </row>
    <row r="31" spans="1:15" x14ac:dyDescent="0.35">
      <c r="O31" s="72" t="s">
        <v>329</v>
      </c>
    </row>
    <row r="32" spans="1:15" x14ac:dyDescent="0.35">
      <c r="O32" s="72" t="s">
        <v>330</v>
      </c>
    </row>
    <row r="35" spans="15:17" x14ac:dyDescent="0.35">
      <c r="O35" s="72" t="s">
        <v>331</v>
      </c>
    </row>
    <row r="38" spans="15:17" x14ac:dyDescent="0.35">
      <c r="O38" s="72" t="s">
        <v>317</v>
      </c>
    </row>
    <row r="39" spans="15:17" x14ac:dyDescent="0.35">
      <c r="O39" s="72" t="s">
        <v>332</v>
      </c>
      <c r="P39" s="72" t="s">
        <v>333</v>
      </c>
      <c r="Q39" s="72" t="s">
        <v>334</v>
      </c>
    </row>
    <row r="40" spans="15:17" x14ac:dyDescent="0.35">
      <c r="O40" s="72" t="s">
        <v>335</v>
      </c>
      <c r="P40" s="72" t="s">
        <v>333</v>
      </c>
      <c r="Q40" s="72" t="s">
        <v>336</v>
      </c>
    </row>
    <row r="42" spans="15:17" x14ac:dyDescent="0.35">
      <c r="O42" s="72" t="s">
        <v>337</v>
      </c>
    </row>
    <row r="43" spans="15:17" x14ac:dyDescent="0.35">
      <c r="O43" s="72" t="s">
        <v>338</v>
      </c>
      <c r="P43" s="72" t="s">
        <v>339</v>
      </c>
      <c r="Q43" s="72" t="s">
        <v>340</v>
      </c>
    </row>
    <row r="44" spans="15:17" x14ac:dyDescent="0.35">
      <c r="O44" s="72" t="s">
        <v>341</v>
      </c>
      <c r="P44" s="72" t="s">
        <v>339</v>
      </c>
      <c r="Q44" s="72" t="s">
        <v>336</v>
      </c>
    </row>
    <row r="46" spans="15:17" x14ac:dyDescent="0.35">
      <c r="O46" s="72" t="s">
        <v>317</v>
      </c>
    </row>
    <row r="47" spans="15:17" x14ac:dyDescent="0.35">
      <c r="O47" s="72">
        <f>142*(J18/0.7)^(-0.241)*0.9938^B18*1.012</f>
        <v>119.59127363340757</v>
      </c>
    </row>
    <row r="48" spans="15:17" x14ac:dyDescent="0.35">
      <c r="O48" s="72">
        <f>142*(J18/0.7)^(-1.2)*0.9938^B18*1.012</f>
        <v>57.580707134316341</v>
      </c>
    </row>
    <row r="50" spans="15:15" x14ac:dyDescent="0.35">
      <c r="O50" s="72" t="s">
        <v>337</v>
      </c>
    </row>
    <row r="51" spans="15:15" x14ac:dyDescent="0.35">
      <c r="O51" s="72">
        <f>142*(J18/0.9)^(-0.302)*0.9938^B18</f>
        <v>121.6998441304456</v>
      </c>
    </row>
    <row r="52" spans="15:15" x14ac:dyDescent="0.35">
      <c r="O52" s="72">
        <f>142*(J18/0.9)^(-1.2)*0.9938^B18</f>
        <v>76.925414463321417</v>
      </c>
    </row>
    <row r="74" spans="1:14" x14ac:dyDescent="0.35">
      <c r="A74" s="112" t="s">
        <v>342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4"/>
    </row>
    <row r="75" spans="1:14" x14ac:dyDescent="0.35">
      <c r="A75" s="261" t="s">
        <v>343</v>
      </c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3"/>
      <c r="M75" s="270" t="s">
        <v>344</v>
      </c>
      <c r="N75" s="271" t="s">
        <v>345</v>
      </c>
    </row>
    <row r="76" spans="1:14" x14ac:dyDescent="0.35">
      <c r="A76" s="264"/>
      <c r="B76" s="265"/>
      <c r="C76" s="265"/>
      <c r="D76" s="265"/>
      <c r="E76" s="265"/>
      <c r="F76" s="265"/>
      <c r="G76" s="265"/>
      <c r="H76" s="265"/>
      <c r="I76" s="265"/>
      <c r="J76" s="265"/>
      <c r="K76" s="265"/>
      <c r="L76" s="266"/>
      <c r="M76" s="270"/>
      <c r="N76" s="271"/>
    </row>
    <row r="77" spans="1:14" x14ac:dyDescent="0.35">
      <c r="A77" s="267"/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69"/>
      <c r="M77" s="270"/>
      <c r="N77" s="271"/>
    </row>
    <row r="78" spans="1:14" x14ac:dyDescent="0.35">
      <c r="A78" s="261" t="s">
        <v>346</v>
      </c>
      <c r="B78" s="262"/>
      <c r="C78" s="262"/>
      <c r="D78" s="262"/>
      <c r="E78" s="262"/>
      <c r="F78" s="262"/>
      <c r="G78" s="262"/>
      <c r="H78" s="262"/>
      <c r="I78" s="262"/>
      <c r="J78" s="262"/>
      <c r="K78" s="262"/>
      <c r="L78" s="263"/>
      <c r="M78" s="270" t="s">
        <v>344</v>
      </c>
      <c r="N78" s="271" t="s">
        <v>345</v>
      </c>
    </row>
    <row r="79" spans="1:14" x14ac:dyDescent="0.35">
      <c r="A79" s="264"/>
      <c r="B79" s="265"/>
      <c r="C79" s="265"/>
      <c r="D79" s="265"/>
      <c r="E79" s="265"/>
      <c r="F79" s="265"/>
      <c r="G79" s="265"/>
      <c r="H79" s="265"/>
      <c r="I79" s="265"/>
      <c r="J79" s="265"/>
      <c r="K79" s="265"/>
      <c r="L79" s="266"/>
      <c r="M79" s="270"/>
      <c r="N79" s="271"/>
    </row>
    <row r="80" spans="1:14" x14ac:dyDescent="0.35">
      <c r="A80" s="267"/>
      <c r="B80" s="268"/>
      <c r="C80" s="268"/>
      <c r="D80" s="268"/>
      <c r="E80" s="268"/>
      <c r="F80" s="268"/>
      <c r="G80" s="268"/>
      <c r="H80" s="268"/>
      <c r="I80" s="268"/>
      <c r="J80" s="268"/>
      <c r="K80" s="268"/>
      <c r="L80" s="269"/>
      <c r="M80" s="270"/>
      <c r="N80" s="271"/>
    </row>
    <row r="81" spans="1:14" x14ac:dyDescent="0.35">
      <c r="A81" s="261" t="s">
        <v>347</v>
      </c>
      <c r="B81" s="262"/>
      <c r="C81" s="262"/>
      <c r="D81" s="262"/>
      <c r="E81" s="262"/>
      <c r="F81" s="262"/>
      <c r="G81" s="262"/>
      <c r="H81" s="262"/>
      <c r="I81" s="262"/>
      <c r="J81" s="262"/>
      <c r="K81" s="262"/>
      <c r="L81" s="263"/>
      <c r="M81" s="270" t="s">
        <v>344</v>
      </c>
      <c r="N81" s="271" t="s">
        <v>345</v>
      </c>
    </row>
    <row r="82" spans="1:14" x14ac:dyDescent="0.35">
      <c r="A82" s="264"/>
      <c r="B82" s="265"/>
      <c r="C82" s="265"/>
      <c r="D82" s="265"/>
      <c r="E82" s="265"/>
      <c r="F82" s="265"/>
      <c r="G82" s="265"/>
      <c r="H82" s="265"/>
      <c r="I82" s="265"/>
      <c r="J82" s="265"/>
      <c r="K82" s="265"/>
      <c r="L82" s="266"/>
      <c r="M82" s="270"/>
      <c r="N82" s="271"/>
    </row>
    <row r="83" spans="1:14" x14ac:dyDescent="0.35">
      <c r="A83" s="267"/>
      <c r="B83" s="268"/>
      <c r="C83" s="268"/>
      <c r="D83" s="268"/>
      <c r="E83" s="268"/>
      <c r="F83" s="268"/>
      <c r="G83" s="268"/>
      <c r="H83" s="268"/>
      <c r="I83" s="268"/>
      <c r="J83" s="268"/>
      <c r="K83" s="268"/>
      <c r="L83" s="269"/>
      <c r="M83" s="270"/>
      <c r="N83" s="271"/>
    </row>
    <row r="84" spans="1:14" x14ac:dyDescent="0.35">
      <c r="A84" s="261" t="s">
        <v>348</v>
      </c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3"/>
      <c r="M84" s="270" t="s">
        <v>344</v>
      </c>
      <c r="N84" s="271" t="s">
        <v>345</v>
      </c>
    </row>
    <row r="85" spans="1:14" x14ac:dyDescent="0.35">
      <c r="A85" s="264"/>
      <c r="B85" s="265"/>
      <c r="C85" s="265"/>
      <c r="D85" s="265"/>
      <c r="E85" s="265"/>
      <c r="F85" s="265"/>
      <c r="G85" s="265"/>
      <c r="H85" s="265"/>
      <c r="I85" s="265"/>
      <c r="J85" s="265"/>
      <c r="K85" s="265"/>
      <c r="L85" s="266"/>
      <c r="M85" s="270"/>
      <c r="N85" s="271"/>
    </row>
    <row r="86" spans="1:14" x14ac:dyDescent="0.35">
      <c r="A86" s="267"/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9"/>
      <c r="M86" s="270"/>
      <c r="N86" s="271"/>
    </row>
    <row r="87" spans="1:14" x14ac:dyDescent="0.35">
      <c r="A87" s="261" t="s">
        <v>349</v>
      </c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3"/>
      <c r="M87" s="270" t="s">
        <v>344</v>
      </c>
      <c r="N87" s="271" t="s">
        <v>345</v>
      </c>
    </row>
    <row r="88" spans="1:14" x14ac:dyDescent="0.35">
      <c r="A88" s="264"/>
      <c r="B88" s="265"/>
      <c r="C88" s="265"/>
      <c r="D88" s="265"/>
      <c r="E88" s="265"/>
      <c r="F88" s="265"/>
      <c r="G88" s="265"/>
      <c r="H88" s="265"/>
      <c r="I88" s="265"/>
      <c r="J88" s="265"/>
      <c r="K88" s="265"/>
      <c r="L88" s="266"/>
      <c r="M88" s="270"/>
      <c r="N88" s="271"/>
    </row>
    <row r="89" spans="1:14" x14ac:dyDescent="0.35">
      <c r="A89" s="267"/>
      <c r="B89" s="268"/>
      <c r="C89" s="268"/>
      <c r="D89" s="268"/>
      <c r="E89" s="268"/>
      <c r="F89" s="268"/>
      <c r="G89" s="268"/>
      <c r="H89" s="268"/>
      <c r="I89" s="268"/>
      <c r="J89" s="268"/>
      <c r="K89" s="268"/>
      <c r="L89" s="269"/>
      <c r="M89" s="270"/>
      <c r="N89" s="271"/>
    </row>
    <row r="90" spans="1:14" ht="14.5" customHeight="1" x14ac:dyDescent="0.35">
      <c r="A90" s="272" t="s">
        <v>350</v>
      </c>
      <c r="B90" s="272"/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0" t="s">
        <v>344</v>
      </c>
      <c r="N90" s="271" t="s">
        <v>345</v>
      </c>
    </row>
    <row r="91" spans="1:14" x14ac:dyDescent="0.35">
      <c r="A91" s="272"/>
      <c r="B91" s="272"/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0"/>
      <c r="N91" s="271"/>
    </row>
    <row r="92" spans="1:14" x14ac:dyDescent="0.35">
      <c r="A92" s="272"/>
      <c r="B92" s="272"/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0"/>
      <c r="N92" s="271"/>
    </row>
    <row r="93" spans="1:14" x14ac:dyDescent="0.35">
      <c r="A93" s="272"/>
      <c r="B93" s="272"/>
      <c r="C93" s="272"/>
      <c r="D93" s="272"/>
      <c r="E93" s="272"/>
      <c r="F93" s="272"/>
      <c r="G93" s="272"/>
      <c r="H93" s="272"/>
      <c r="I93" s="272"/>
      <c r="J93" s="272"/>
      <c r="K93" s="272"/>
      <c r="L93" s="272"/>
      <c r="M93" s="270"/>
      <c r="N93" s="271"/>
    </row>
    <row r="94" spans="1:14" x14ac:dyDescent="0.35">
      <c r="A94" s="261" t="s">
        <v>351</v>
      </c>
      <c r="B94" s="262"/>
      <c r="C94" s="262"/>
      <c r="D94" s="262"/>
      <c r="E94" s="262"/>
      <c r="F94" s="262"/>
      <c r="G94" s="262"/>
      <c r="H94" s="262"/>
      <c r="I94" s="262"/>
      <c r="J94" s="262"/>
      <c r="K94" s="262"/>
      <c r="L94" s="263"/>
      <c r="M94" s="270" t="s">
        <v>344</v>
      </c>
      <c r="N94" s="271" t="s">
        <v>345</v>
      </c>
    </row>
    <row r="95" spans="1:14" x14ac:dyDescent="0.35">
      <c r="A95" s="264"/>
      <c r="B95" s="265"/>
      <c r="C95" s="265"/>
      <c r="D95" s="265"/>
      <c r="E95" s="265"/>
      <c r="F95" s="265"/>
      <c r="G95" s="265"/>
      <c r="H95" s="265"/>
      <c r="I95" s="265"/>
      <c r="J95" s="265"/>
      <c r="K95" s="265"/>
      <c r="L95" s="266"/>
      <c r="M95" s="270"/>
      <c r="N95" s="271"/>
    </row>
    <row r="96" spans="1:14" x14ac:dyDescent="0.35">
      <c r="A96" s="267"/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9"/>
      <c r="M96" s="270"/>
      <c r="N96" s="271"/>
    </row>
    <row r="97" spans="1:14" x14ac:dyDescent="0.35">
      <c r="A97" s="261" t="s">
        <v>352</v>
      </c>
      <c r="B97" s="262"/>
      <c r="C97" s="262"/>
      <c r="D97" s="262"/>
      <c r="E97" s="262"/>
      <c r="F97" s="262"/>
      <c r="G97" s="262"/>
      <c r="H97" s="262"/>
      <c r="I97" s="262"/>
      <c r="J97" s="262"/>
      <c r="K97" s="262"/>
      <c r="L97" s="263"/>
      <c r="M97" s="270" t="s">
        <v>344</v>
      </c>
      <c r="N97" s="271" t="s">
        <v>345</v>
      </c>
    </row>
    <row r="98" spans="1:14" x14ac:dyDescent="0.35">
      <c r="A98" s="264"/>
      <c r="B98" s="265"/>
      <c r="C98" s="265"/>
      <c r="D98" s="265"/>
      <c r="E98" s="265"/>
      <c r="F98" s="265"/>
      <c r="G98" s="265"/>
      <c r="H98" s="265"/>
      <c r="I98" s="265"/>
      <c r="J98" s="265"/>
      <c r="K98" s="265"/>
      <c r="L98" s="266"/>
      <c r="M98" s="270"/>
      <c r="N98" s="271"/>
    </row>
    <row r="99" spans="1:14" x14ac:dyDescent="0.35">
      <c r="A99" s="267"/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9"/>
      <c r="M99" s="270"/>
      <c r="N99" s="271"/>
    </row>
    <row r="100" spans="1:14" x14ac:dyDescent="0.35">
      <c r="A100" s="261" t="s">
        <v>353</v>
      </c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  <c r="L100" s="263"/>
      <c r="M100" s="270" t="s">
        <v>344</v>
      </c>
      <c r="N100" s="273" t="s">
        <v>354</v>
      </c>
    </row>
    <row r="101" spans="1:14" x14ac:dyDescent="0.35">
      <c r="A101" s="264"/>
      <c r="B101" s="265"/>
      <c r="C101" s="265"/>
      <c r="D101" s="265"/>
      <c r="E101" s="265"/>
      <c r="F101" s="265"/>
      <c r="G101" s="265"/>
      <c r="H101" s="265"/>
      <c r="I101" s="265"/>
      <c r="J101" s="265"/>
      <c r="K101" s="265"/>
      <c r="L101" s="266"/>
      <c r="M101" s="270"/>
      <c r="N101" s="273"/>
    </row>
    <row r="102" spans="1:14" x14ac:dyDescent="0.35">
      <c r="A102" s="267"/>
      <c r="B102" s="268"/>
      <c r="C102" s="268"/>
      <c r="D102" s="268"/>
      <c r="E102" s="268"/>
      <c r="F102" s="268"/>
      <c r="G102" s="268"/>
      <c r="H102" s="268"/>
      <c r="I102" s="268"/>
      <c r="J102" s="268"/>
      <c r="K102" s="268"/>
      <c r="L102" s="269"/>
      <c r="M102" s="270"/>
      <c r="N102" s="273"/>
    </row>
    <row r="103" spans="1:14" x14ac:dyDescent="0.35">
      <c r="A103" s="261" t="s">
        <v>355</v>
      </c>
      <c r="B103" s="262"/>
      <c r="C103" s="262"/>
      <c r="D103" s="262"/>
      <c r="E103" s="262"/>
      <c r="F103" s="262"/>
      <c r="G103" s="262"/>
      <c r="H103" s="262"/>
      <c r="I103" s="262"/>
      <c r="J103" s="262"/>
      <c r="K103" s="262"/>
      <c r="L103" s="263"/>
      <c r="M103" s="274" t="s">
        <v>356</v>
      </c>
      <c r="N103" s="271" t="s">
        <v>345</v>
      </c>
    </row>
    <row r="104" spans="1:14" x14ac:dyDescent="0.35">
      <c r="A104" s="264"/>
      <c r="B104" s="265"/>
      <c r="C104" s="265"/>
      <c r="D104" s="265"/>
      <c r="E104" s="265"/>
      <c r="F104" s="265"/>
      <c r="G104" s="265"/>
      <c r="H104" s="265"/>
      <c r="I104" s="265"/>
      <c r="J104" s="265"/>
      <c r="K104" s="265"/>
      <c r="L104" s="266"/>
      <c r="M104" s="274"/>
      <c r="N104" s="271"/>
    </row>
    <row r="105" spans="1:14" x14ac:dyDescent="0.35">
      <c r="A105" s="267"/>
      <c r="B105" s="268"/>
      <c r="C105" s="268"/>
      <c r="D105" s="268"/>
      <c r="E105" s="268"/>
      <c r="F105" s="268"/>
      <c r="G105" s="268"/>
      <c r="H105" s="268"/>
      <c r="I105" s="268"/>
      <c r="J105" s="268"/>
      <c r="K105" s="268"/>
      <c r="L105" s="269"/>
      <c r="M105" s="274"/>
      <c r="N105" s="271"/>
    </row>
  </sheetData>
  <sheetProtection algorithmName="SHA-512" hashValue="W4tKhtNXjR01Zsx8L80QwJ5T8fG2ab79jLgjNm4YJtlcv90gdxrPJy21nugYreYpTOv5+ejozTLLMDde+SZktg==" saltValue="JZd5pxqiRwwrdHuDWZWN4w==" spinCount="100000" sheet="1" objects="1" scenarios="1"/>
  <sortState xmlns:xlrd2="http://schemas.microsoft.com/office/spreadsheetml/2017/richdata2" ref="E18:F18">
    <sortCondition sortBy="fontColor" ref="E18:E19" dxfId="11"/>
  </sortState>
  <mergeCells count="42">
    <mergeCell ref="A100:L102"/>
    <mergeCell ref="M100:M102"/>
    <mergeCell ref="N100:N102"/>
    <mergeCell ref="A103:L105"/>
    <mergeCell ref="M103:M105"/>
    <mergeCell ref="N103:N105"/>
    <mergeCell ref="A94:L96"/>
    <mergeCell ref="M94:M96"/>
    <mergeCell ref="N94:N96"/>
    <mergeCell ref="A97:L99"/>
    <mergeCell ref="M97:M99"/>
    <mergeCell ref="N97:N99"/>
    <mergeCell ref="A87:L89"/>
    <mergeCell ref="M87:M89"/>
    <mergeCell ref="N87:N89"/>
    <mergeCell ref="A90:L93"/>
    <mergeCell ref="M90:M93"/>
    <mergeCell ref="N90:N93"/>
    <mergeCell ref="A81:L83"/>
    <mergeCell ref="M81:M83"/>
    <mergeCell ref="N81:N83"/>
    <mergeCell ref="A84:L86"/>
    <mergeCell ref="M84:M86"/>
    <mergeCell ref="N84:N86"/>
    <mergeCell ref="A75:L77"/>
    <mergeCell ref="M75:M77"/>
    <mergeCell ref="N75:N77"/>
    <mergeCell ref="A78:L80"/>
    <mergeCell ref="M78:M80"/>
    <mergeCell ref="N78:N80"/>
    <mergeCell ref="A27:C27"/>
    <mergeCell ref="A1:N2"/>
    <mergeCell ref="E4:F4"/>
    <mergeCell ref="J5:K5"/>
    <mergeCell ref="L5:M5"/>
    <mergeCell ref="A11:H11"/>
    <mergeCell ref="I11:M11"/>
    <mergeCell ref="A15:N16"/>
    <mergeCell ref="H18:I18"/>
    <mergeCell ref="J21:K21"/>
    <mergeCell ref="A22:B22"/>
    <mergeCell ref="C24:J24"/>
  </mergeCells>
  <conditionalFormatting sqref="I11:M11">
    <cfRule type="containsErrors" dxfId="10" priority="3">
      <formula>ISERROR(I11)</formula>
    </cfRule>
    <cfRule type="containsText" dxfId="9" priority="8" operator="containsText" text="150">
      <formula>NOT(ISERROR(SEARCH("150",I11)))</formula>
    </cfRule>
    <cfRule type="containsText" dxfId="8" priority="9" operator="containsText" text="x20">
      <formula>NOT(ISERROR(SEARCH("x20",I11)))</formula>
    </cfRule>
    <cfRule type="containsText" dxfId="7" priority="10" operator="containsText" text="ზომიერად">
      <formula>NOT(ISERROR(SEARCH("ზომიერად",I11)))</formula>
    </cfRule>
    <cfRule type="containsText" dxfId="6" priority="11" operator="containsText" text="დაბალი">
      <formula>NOT(ISERROR(SEARCH("დაბალი",I11)))</formula>
    </cfRule>
  </conditionalFormatting>
  <conditionalFormatting sqref="B24">
    <cfRule type="containsErrors" dxfId="5" priority="7">
      <formula>ISERROR(B24)</formula>
    </cfRule>
  </conditionalFormatting>
  <conditionalFormatting sqref="B7">
    <cfRule type="containsErrors" dxfId="4" priority="6">
      <formula>ISERROR(B7)</formula>
    </cfRule>
  </conditionalFormatting>
  <conditionalFormatting sqref="B4">
    <cfRule type="containsErrors" dxfId="3" priority="5">
      <formula>ISERROR(B4)</formula>
    </cfRule>
  </conditionalFormatting>
  <conditionalFormatting sqref="C22">
    <cfRule type="containsErrors" dxfId="2" priority="4">
      <formula>ISERROR(C22)</formula>
    </cfRule>
  </conditionalFormatting>
  <conditionalFormatting sqref="C24:J24">
    <cfRule type="containsErrors" dxfId="1" priority="2">
      <formula>ISERROR(C24)</formula>
    </cfRule>
  </conditionalFormatting>
  <conditionalFormatting sqref="D27">
    <cfRule type="containsErrors" dxfId="0" priority="1">
      <formula>ISERROR(D27)</formula>
    </cfRule>
  </conditionalFormatting>
  <hyperlinks>
    <hyperlink ref="A1:N2" location="Main!A1" display="თირკმლების ქრონიკული დაავადება და შაქრიანი დიაბეტი" xr:uid="{23812503-187F-41DC-942E-94F86219546B}"/>
    <hyperlink ref="A15:N16" location="Main!A1" display="თირკმლების ქრონიკული დაავადება და შაქრიანი დიაბეტი" xr:uid="{9D80C0E3-F91E-4311-A51C-11FE9CB6B2A4}"/>
    <hyperlink ref="M75:M77" location="Evidence!A1" display="I" xr:uid="{20D69795-0CE7-45AC-AAEC-88AAA63FBA94}"/>
    <hyperlink ref="N75:N77" location="Evidence!A1" display="B" xr:uid="{E3DD2092-A41C-4DA1-9509-AF33AADF525F}"/>
    <hyperlink ref="M78:M80" location="Evidence!A1" display="I" xr:uid="{2FF0765B-7D1C-47DE-BE24-610B59F786AB}"/>
    <hyperlink ref="N78:N80" location="Evidence!A1" display="B" xr:uid="{5DC5B2AB-E739-4807-ABB5-3A754C6382A4}"/>
    <hyperlink ref="M81:M83" location="Evidence!A1" display="I" xr:uid="{CF756710-8035-49C0-B51E-9C8A2FF81001}"/>
    <hyperlink ref="N81:N83" location="Evidence!A1" display="B" xr:uid="{872FD715-F4F6-4861-AF82-B46C5F7CE961}"/>
    <hyperlink ref="M84:M86" location="Evidence!A1" display="I" xr:uid="{2C16B556-7E8A-4E27-94F2-ECAA3ADF11C0}"/>
    <hyperlink ref="N84:N86" location="Evidence!A1" display="B" xr:uid="{90260606-2E63-47DF-B27C-6A19F5796CF1}"/>
    <hyperlink ref="M87:M89" location="Evidence!A1" display="I" xr:uid="{6FA15295-84E8-4D42-B8D7-6AB8BDE512E4}"/>
    <hyperlink ref="N87:N89" location="Evidence!A1" display="B" xr:uid="{BCAC5B07-62F7-4782-A6CD-FFC943CFB3D3}"/>
    <hyperlink ref="M90:M92" location="Evidence!A1" display="I" xr:uid="{88D83259-3E41-44C2-A122-992DD86D7EE8}"/>
    <hyperlink ref="N90:N92" location="Evidence!A1" display="B" xr:uid="{EA27A421-BF77-45BF-B275-B622E3225275}"/>
    <hyperlink ref="M94:M96" location="Evidence!A1" display="I" xr:uid="{2338ECDF-E80E-42AA-A8F5-A3E8F1955697}"/>
    <hyperlink ref="N94:N96" location="Evidence!A1" display="B" xr:uid="{216053BA-C357-430D-AD6B-29ABD745CE5E}"/>
    <hyperlink ref="M97:M99" location="Evidence!A1" display="I" xr:uid="{58B11DBB-CE19-4A84-B6BE-35832F6D38AE}"/>
    <hyperlink ref="N97:N99" location="Evidence!A1" display="B" xr:uid="{A3D74FCB-4311-46C8-84F9-7EE2892066C6}"/>
    <hyperlink ref="M100:M102" location="Evidence!A1" display="I" xr:uid="{986C33EE-DC3B-47FE-92CB-035B10B595D4}"/>
    <hyperlink ref="N100:N102" location="Evidence!A1" display="B" xr:uid="{5C2DAE44-CCF3-4DEF-BFE5-23F8ECFE38A4}"/>
    <hyperlink ref="N103:N105" location="Evidence!A1" display="B" xr:uid="{C0FA3A3B-8C83-445B-B32B-46C878842717}"/>
    <hyperlink ref="M103:M105" location="Evidence!A1" display="I" xr:uid="{1DE47E13-5077-4986-9E1B-8324AF770BCF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Anamnesis</vt:lpstr>
      <vt:lpstr>Profile</vt:lpstr>
      <vt:lpstr>NSAIDs</vt:lpstr>
      <vt:lpstr>CV Risk</vt:lpstr>
      <vt:lpstr>GI Risk</vt:lpstr>
      <vt:lpstr>SCORE2-Diabetes</vt:lpstr>
      <vt:lpstr>calculator</vt:lpstr>
      <vt:lpstr>values</vt:lpstr>
      <vt:lpstr>CKD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Kakhaber</dc:creator>
  <cp:lastModifiedBy>Kakhaber</cp:lastModifiedBy>
  <dcterms:created xsi:type="dcterms:W3CDTF">2024-03-10T08:06:49Z</dcterms:created>
  <dcterms:modified xsi:type="dcterms:W3CDTF">2024-06-05T21:36:56Z</dcterms:modified>
</cp:coreProperties>
</file>