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drawings/drawing10.xml" ContentType="application/vnd.openxmlformats-officedocument.drawing+xml"/>
  <Override PartName="/xl/ctrlProps/ctrlProp35.xml" ContentType="application/vnd.ms-excel.controlproperties+xml"/>
  <Override PartName="/xl/drawings/drawing11.xml" ContentType="application/vnd.openxmlformats-officedocument.drawing+xml"/>
  <Override PartName="/xl/ctrlProps/ctrlProp36.xml" ContentType="application/vnd.ms-excel.controlproperties+xml"/>
  <Override PartName="/xl/drawings/drawing1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3.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14.xml" ContentType="application/vnd.openxmlformats-officedocument.drawing+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ED38EB6F-84FB-48B3-999A-6F89AE716185}" xr6:coauthVersionLast="47" xr6:coauthVersionMax="47" xr10:uidLastSave="{00000000-0000-0000-0000-000000000000}"/>
  <bookViews>
    <workbookView xWindow="-110" yWindow="-110" windowWidth="19420" windowHeight="11020" xr2:uid="{6A272E5D-B844-482B-8562-2709B89F1D45}"/>
  </bookViews>
  <sheets>
    <sheet name="Main" sheetId="1" r:id="rId1"/>
    <sheet name="Evidence" sheetId="2" state="hidden" r:id="rId2"/>
    <sheet name="Key" sheetId="3" state="hidden" r:id="rId3"/>
    <sheet name="SCORE2-Diabetes" sheetId="4" r:id="rId4"/>
    <sheet name="TOD" sheetId="9" state="hidden" r:id="rId5"/>
    <sheet name="Diagnosis" sheetId="8" state="hidden" r:id="rId6"/>
    <sheet name="Hypoglycemic" sheetId="10" state="hidden" r:id="rId7"/>
    <sheet name="Hypertension" sheetId="11" state="hidden" r:id="rId8"/>
    <sheet name="Lipids" sheetId="12" state="hidden" r:id="rId9"/>
    <sheet name="Antithrombotic" sheetId="13" state="hidden" r:id="rId10"/>
    <sheet name="CAD" sheetId="14" state="hidden" r:id="rId11"/>
    <sheet name="HF" sheetId="15" state="hidden" r:id="rId12"/>
    <sheet name="Arrhythmia" sheetId="16" state="hidden" r:id="rId13"/>
    <sheet name="CHA2DS2VASc" sheetId="17" state="hidden" r:id="rId14"/>
    <sheet name="CKD" sheetId="18" state="hidden" r:id="rId15"/>
    <sheet name="LEAD" sheetId="19" state="hidden" r:id="rId16"/>
    <sheet name="T1DM" sheetId="21" state="hidden" r:id="rId17"/>
    <sheet name="calculator" sheetId="5" state="hidden" r:id="rId18"/>
    <sheet name="values" sheetId="6" state="hidden" r:id="rId19"/>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1" i="19" l="1"/>
  <c r="M20" i="19"/>
  <c r="N19" i="19"/>
  <c r="K28" i="19"/>
  <c r="K27" i="19"/>
  <c r="K26" i="19"/>
  <c r="K25" i="19"/>
  <c r="H31" i="19"/>
  <c r="I30" i="19"/>
  <c r="I28" i="19"/>
  <c r="I27" i="19"/>
  <c r="I26" i="19"/>
  <c r="I25" i="19"/>
  <c r="I22" i="19"/>
  <c r="J21" i="19"/>
  <c r="B11" i="19"/>
  <c r="B10" i="19"/>
  <c r="I20" i="19"/>
  <c r="J19" i="19"/>
  <c r="J18" i="19"/>
  <c r="N18" i="19"/>
  <c r="N17" i="19"/>
  <c r="J17" i="19"/>
  <c r="J15" i="19"/>
  <c r="L14" i="19"/>
  <c r="K8" i="19"/>
  <c r="B8" i="19"/>
  <c r="B12" i="19"/>
  <c r="K12" i="19"/>
  <c r="K11" i="19"/>
  <c r="K10" i="19"/>
  <c r="L9" i="19"/>
  <c r="C9" i="19"/>
  <c r="J8" i="19"/>
  <c r="E8" i="19"/>
  <c r="F8" i="19"/>
  <c r="B19" i="19"/>
  <c r="B16" i="19"/>
  <c r="F19" i="19"/>
  <c r="B18" i="19"/>
  <c r="E28" i="19"/>
  <c r="A21" i="19"/>
  <c r="F27" i="19"/>
  <c r="F25" i="19"/>
  <c r="E26" i="19"/>
  <c r="F20" i="19"/>
  <c r="E21" i="19"/>
  <c r="F18" i="19"/>
  <c r="B20" i="19"/>
  <c r="C15" i="19"/>
  <c r="K13" i="19"/>
  <c r="B14" i="19"/>
  <c r="B13" i="19"/>
  <c r="O52" i="18"/>
  <c r="O51" i="18"/>
  <c r="D27" i="18" s="1"/>
  <c r="B4" i="18" s="1"/>
  <c r="O47" i="18"/>
  <c r="O48" i="18"/>
  <c r="O26" i="18"/>
  <c r="O25" i="18"/>
  <c r="C22" i="18" s="1"/>
  <c r="M20" i="18"/>
  <c r="M4" i="18"/>
  <c r="G7" i="18"/>
  <c r="Q53" i="17"/>
  <c r="Q51" i="17"/>
  <c r="Q49" i="17"/>
  <c r="Q47" i="17"/>
  <c r="Q45" i="17"/>
  <c r="Q43" i="17"/>
  <c r="Q41" i="17"/>
  <c r="Q39" i="17"/>
  <c r="Q37" i="17"/>
  <c r="O16" i="17"/>
  <c r="O14" i="17"/>
  <c r="O12" i="17"/>
  <c r="O10" i="17"/>
  <c r="O8" i="17"/>
  <c r="O6" i="17"/>
  <c r="O4" i="17"/>
  <c r="L24" i="16"/>
  <c r="M23" i="16"/>
  <c r="E27" i="16"/>
  <c r="G24" i="16"/>
  <c r="H23" i="16"/>
  <c r="G22" i="16"/>
  <c r="L22" i="16"/>
  <c r="M21" i="16"/>
  <c r="H21" i="16"/>
  <c r="H18" i="16"/>
  <c r="J16" i="16"/>
  <c r="H14" i="16"/>
  <c r="H10" i="16"/>
  <c r="A10" i="16"/>
  <c r="J8" i="16"/>
  <c r="C8" i="16"/>
  <c r="C7" i="16"/>
  <c r="F5" i="16"/>
  <c r="A16" i="16"/>
  <c r="A13" i="16"/>
  <c r="C11" i="16"/>
  <c r="B7" i="18" l="1"/>
  <c r="Q54" i="17"/>
  <c r="C56" i="17" s="1"/>
  <c r="O18" i="17"/>
  <c r="D20" i="17" s="1"/>
  <c r="D22" i="17" s="1"/>
  <c r="N36" i="15"/>
  <c r="M36" i="15"/>
  <c r="A36" i="15"/>
  <c r="N33" i="15"/>
  <c r="M33" i="15"/>
  <c r="A33" i="15"/>
  <c r="N55" i="15"/>
  <c r="N51" i="15"/>
  <c r="M55" i="15"/>
  <c r="M51" i="15"/>
  <c r="A55" i="15"/>
  <c r="A51" i="15"/>
  <c r="N48" i="15"/>
  <c r="M48" i="15"/>
  <c r="A48" i="15"/>
  <c r="A45" i="15"/>
  <c r="N45" i="15"/>
  <c r="M45" i="15"/>
  <c r="A42" i="15"/>
  <c r="N42" i="15"/>
  <c r="M42" i="15"/>
  <c r="N39" i="15"/>
  <c r="M39" i="15"/>
  <c r="A39" i="15"/>
  <c r="A32" i="15"/>
  <c r="N32" i="15"/>
  <c r="M32" i="15"/>
  <c r="G5" i="15"/>
  <c r="K5" i="15"/>
  <c r="J5" i="15"/>
  <c r="F13" i="13"/>
  <c r="F12" i="13"/>
  <c r="F18" i="13"/>
  <c r="F17" i="13"/>
  <c r="F28" i="13"/>
  <c r="F27" i="13"/>
  <c r="F23" i="13"/>
  <c r="F24" i="13"/>
  <c r="F21" i="13"/>
  <c r="M9" i="12"/>
  <c r="J9" i="12"/>
  <c r="J6" i="12"/>
  <c r="M7" i="12"/>
  <c r="J7" i="12"/>
  <c r="M6" i="12"/>
  <c r="K18" i="10"/>
  <c r="D18" i="10"/>
  <c r="N76" i="8"/>
  <c r="N110" i="8"/>
  <c r="N108" i="8"/>
  <c r="N106" i="8"/>
  <c r="N104" i="8"/>
  <c r="N103" i="8"/>
  <c r="N100" i="8"/>
  <c r="N98" i="8"/>
  <c r="N96" i="8"/>
  <c r="N95" i="8"/>
  <c r="N94" i="8"/>
  <c r="N90" i="8"/>
  <c r="N89" i="8"/>
  <c r="N88" i="8"/>
  <c r="N85" i="8"/>
  <c r="N83" i="8"/>
  <c r="N81" i="8"/>
  <c r="N79" i="8"/>
  <c r="N75" i="8"/>
  <c r="N73" i="8"/>
  <c r="N71" i="8"/>
  <c r="N69" i="8"/>
  <c r="B24" i="18" l="1"/>
  <c r="C24" i="18" s="1"/>
  <c r="I11" i="18"/>
  <c r="C62" i="17"/>
  <c r="D60" i="17"/>
  <c r="C58" i="17"/>
  <c r="O22" i="17"/>
  <c r="N112" i="8"/>
  <c r="D22" i="8"/>
  <c r="D21" i="8"/>
  <c r="D18" i="8"/>
  <c r="D17" i="8"/>
  <c r="D20" i="8" s="1"/>
  <c r="D19" i="8"/>
  <c r="I4" i="4"/>
  <c r="O4" i="4" s="1"/>
  <c r="B2" i="5" s="1"/>
  <c r="B11" i="5"/>
  <c r="B10" i="5"/>
  <c r="B9" i="5"/>
  <c r="B8" i="5"/>
  <c r="B7" i="5"/>
  <c r="P9" i="4"/>
  <c r="B6" i="5" s="1"/>
  <c r="B5" i="5"/>
  <c r="B4" i="5"/>
  <c r="O9" i="4"/>
  <c r="B3" i="5" s="1"/>
  <c r="J113" i="8" l="1"/>
  <c r="J114" i="8" s="1"/>
  <c r="J115" i="8" s="1"/>
  <c r="J116" i="8" s="1"/>
  <c r="E113" i="8" s="1"/>
  <c r="B11" i="6"/>
  <c r="C11" i="6" s="1"/>
  <c r="B10" i="6"/>
  <c r="C10" i="6" s="1"/>
  <c r="B9" i="6"/>
  <c r="C9" i="6" s="1"/>
  <c r="B8" i="6"/>
  <c r="C8" i="6" s="1"/>
  <c r="B7" i="6"/>
  <c r="C7" i="6" s="1"/>
  <c r="B6" i="6"/>
  <c r="C6" i="6" s="1"/>
  <c r="B5" i="6"/>
  <c r="C5" i="6" s="1"/>
  <c r="B4" i="6"/>
  <c r="C4" i="6" s="1"/>
  <c r="I79" i="8" l="1"/>
  <c r="I76" i="8"/>
  <c r="M74" i="8"/>
  <c r="J74" i="8"/>
  <c r="J73" i="8"/>
  <c r="M73" i="8"/>
  <c r="H6" i="6"/>
  <c r="H7" i="6"/>
  <c r="D7" i="6"/>
  <c r="D4" i="6"/>
  <c r="H4" i="6"/>
  <c r="H8" i="6"/>
  <c r="D8" i="6"/>
  <c r="H5" i="6"/>
  <c r="D5" i="6"/>
  <c r="H9" i="6"/>
  <c r="D9" i="6"/>
  <c r="H10" i="6"/>
  <c r="D10" i="6"/>
  <c r="H11" i="6"/>
  <c r="D11" i="6"/>
  <c r="D6" i="6"/>
  <c r="H12" i="6" l="1"/>
  <c r="H13" i="6" s="1"/>
  <c r="D12" i="6"/>
  <c r="D13" i="6" s="1"/>
  <c r="D17" i="6" l="1"/>
  <c r="D16" i="6"/>
  <c r="D14" i="6"/>
  <c r="D15" i="6"/>
  <c r="H17" i="6"/>
  <c r="H16" i="6"/>
  <c r="H15" i="6"/>
  <c r="H14" i="6"/>
  <c r="I28" i="3"/>
  <c r="I23" i="3"/>
  <c r="B28" i="3"/>
  <c r="B23" i="3"/>
  <c r="I19" i="3"/>
  <c r="J17" i="3"/>
  <c r="B19" i="3"/>
  <c r="C17" i="3"/>
  <c r="I14" i="3"/>
  <c r="J13" i="3"/>
  <c r="D13" i="3"/>
  <c r="B14" i="3"/>
  <c r="E9" i="3"/>
  <c r="D10" i="3"/>
  <c r="D7" i="2"/>
  <c r="D4" i="2"/>
  <c r="B13" i="5" l="1"/>
  <c r="L21" i="4" s="1"/>
  <c r="H23" i="4" s="1"/>
  <c r="H24" i="4" s="1"/>
</calcChain>
</file>

<file path=xl/sharedStrings.xml><?xml version="1.0" encoding="utf-8"?>
<sst xmlns="http://schemas.openxmlformats.org/spreadsheetml/2006/main" count="885" uniqueCount="602">
  <si>
    <t>კლასი I</t>
  </si>
  <si>
    <t>რეკომენდებული ან ნაჩვენებია</t>
  </si>
  <si>
    <t>კლასი IIa</t>
  </si>
  <si>
    <t>განხილულ უნდა იქნას</t>
  </si>
  <si>
    <t>კლასი IIb</t>
  </si>
  <si>
    <t>შეიძლება განხილულ იქნას</t>
  </si>
  <si>
    <t>კლასი III</t>
  </si>
  <si>
    <t>არ არის რეკომენდებული</t>
  </si>
  <si>
    <t>კლასი</t>
  </si>
  <si>
    <t>რეკომენდაციის კლასი და მტკიცებულების დონე</t>
  </si>
  <si>
    <t>დონე A</t>
  </si>
  <si>
    <t>დონე B</t>
  </si>
  <si>
    <t>დონე C</t>
  </si>
  <si>
    <t>მრავალი რანდომიზებული კვლევის ან მეტა-ანალიზის შედეგები</t>
  </si>
  <si>
    <t>ერთი რანდომიზებული კვლევის ან დიდი მეტა-ანალიზის შედეგები</t>
  </si>
  <si>
    <t>ექსპერტების კონსენსუსი ანდა მცირე კვლევების, რეტროსპექტული კვლევების და რეესტრების შედეგები</t>
  </si>
  <si>
    <t>კლინიკური მიდგომა და საკვანძო რეკომენდაციები</t>
  </si>
  <si>
    <t>კომორბიდობა: ტიპი 2 შაქრიანი დიაბეტი</t>
  </si>
  <si>
    <t>დიაგნოზი: ათეროსკლეროზული კარდიოვასკულური დაავადება და ტიპი 2 შაქრიანი დიაბეტი</t>
  </si>
  <si>
    <t>↓</t>
  </si>
  <si>
    <t>გლუკაგონისმაგვარი პეპტიდი-1 რეცეპტორების ანტაგონისტი (GLP-1 RA): ლირაგლუტიდი, სემაგლუტიდი, დულაგლუტიდი, ეფპეგლენატიდი</t>
  </si>
  <si>
    <t>დიაგნოზი: გულის უკმარისობა (HFpEF, HFmrEF, HFrEF) და ტიპი 2 შაქრიანი დიაბეტი</t>
  </si>
  <si>
    <t>შაქრიანი დიაბეტით და გულის უკმარისობით დაავადებულ ყველა პაციენტთან, ჰოსპიტალიზაციის რისკის შემცირების მიზნით, დანიშნეთ:</t>
  </si>
  <si>
    <t>გლუკოზის კონტროლის მიუხედავად, კარდიოვასკულური რისკის შემცირების მიზნით, დანიშნეთ:</t>
  </si>
  <si>
    <t>ნატრიუმ-გლუკოზას ტრანსპორტერი 2-ის ინჰიბიტორი (SGLT2i): ემპაგლიფლოზინი (HFpEF, HFmrEF, HFrEF), კანაგლიფლოზინი, დაპაგლიფლოზინი (HFpEF, HFmrEF, HFrEF), სოტაგლიფლოზინი (HFrEF)</t>
  </si>
  <si>
    <t>კომორბიდობა: კარდიოვასკულური დაავადება ან თირკმლის ქრონიკული დაავადება</t>
  </si>
  <si>
    <t>დიაგნოზი: ტიპი 2 შაქრიანი დიაბეტი და გულის უკმარისობა (HFpEF, HFmrEF, HFrEF)</t>
  </si>
  <si>
    <t>დიაგნოზი: ტიპი 2 შაქრიანი დიაბეტი და თირკმლების ქრონიკული დაავადება</t>
  </si>
  <si>
    <t>კარდიოვასკულური და თირკმლების უკმარისობის რისკის შემცირების მიზნით, დანიშნეთ:</t>
  </si>
  <si>
    <t>ფინერენონი ან ნატრიუმ-გლუკოზას ტრანსპორტერი 2-ის ინჰიბიტორი (SGLT2i): კანაგლიფლოზინი, ემპაგლიფლოზინი, დაპაგლიფლოზინი</t>
  </si>
  <si>
    <t>დონე</t>
  </si>
  <si>
    <r>
      <t xml:space="preserve">      </t>
    </r>
    <r>
      <rPr>
        <b/>
        <sz val="16"/>
        <color theme="1"/>
        <rFont val="Calibri"/>
        <family val="2"/>
      </rPr>
      <t>გულ-სისხლძარღვთა დაავადებების მართვა პაციენტებში შაქრიანი დიაბეტით</t>
    </r>
  </si>
  <si>
    <t>Risk Predictor</t>
  </si>
  <si>
    <t>Value (please enter values below)</t>
  </si>
  <si>
    <t>Risk Region</t>
  </si>
  <si>
    <t>Very high risk region</t>
  </si>
  <si>
    <t>Sex</t>
  </si>
  <si>
    <t>Age (yrs)</t>
  </si>
  <si>
    <t>Diabetes age at diagnosis (yrs)</t>
  </si>
  <si>
    <t>Current smoker</t>
  </si>
  <si>
    <t>SBP (mm Hg)</t>
  </si>
  <si>
    <t>Total cholesterol (mmol/L)</t>
  </si>
  <si>
    <t>HDL cholesterol (mmol/L)</t>
  </si>
  <si>
    <t>HbA1c (mmol/mol)</t>
  </si>
  <si>
    <t>eGFR (ml/min/1.73m^2)</t>
  </si>
  <si>
    <t xml:space="preserve">10-year CVD risk estimate </t>
  </si>
  <si>
    <t>value</t>
  </si>
  <si>
    <t>centred val</t>
  </si>
  <si>
    <t>points men</t>
  </si>
  <si>
    <t>Men</t>
  </si>
  <si>
    <t>points women</t>
  </si>
  <si>
    <t>Women</t>
  </si>
  <si>
    <t>B men</t>
  </si>
  <si>
    <t xml:space="preserve">B fac*age </t>
  </si>
  <si>
    <t>B squared</t>
  </si>
  <si>
    <t>B women</t>
  </si>
  <si>
    <t>Diabetes (yes vs. no)</t>
  </si>
  <si>
    <t>smoking current</t>
  </si>
  <si>
    <t>Ln eGFR (ml/min/1.73m^2)</t>
  </si>
  <si>
    <t>LP</t>
  </si>
  <si>
    <t>Risk unclaibrated</t>
  </si>
  <si>
    <t>risk low risk region</t>
  </si>
  <si>
    <t>risk moderate</t>
  </si>
  <si>
    <t>risk high</t>
  </si>
  <si>
    <t>risk very high</t>
  </si>
  <si>
    <t>High risk region</t>
  </si>
  <si>
    <t>I</t>
  </si>
  <si>
    <t>B</t>
  </si>
  <si>
    <t>SCORE2-Diabetes calculator</t>
  </si>
  <si>
    <t>Low risk region</t>
  </si>
  <si>
    <t>დაბალი რისკის რეგიონი</t>
  </si>
  <si>
    <t>რისკის რეგიონის შეფასების მიზნით, აირჩიეთ ქვეყანა</t>
  </si>
  <si>
    <t>ზომიერი რისკის რეგიონი</t>
  </si>
  <si>
    <t>მაღალი რისკის რეგიონი</t>
  </si>
  <si>
    <t>Moderate risk region</t>
  </si>
  <si>
    <t>Albania</t>
  </si>
  <si>
    <t>Algeria</t>
  </si>
  <si>
    <t>Armenia</t>
  </si>
  <si>
    <t>Austria</t>
  </si>
  <si>
    <t>Azerbaijan</t>
  </si>
  <si>
    <t>Belarus</t>
  </si>
  <si>
    <t>Belgium</t>
  </si>
  <si>
    <t>Bosnia and Herzegovina</t>
  </si>
  <si>
    <t>Bulgaria</t>
  </si>
  <si>
    <t>Croatia</t>
  </si>
  <si>
    <t>Cyprus</t>
  </si>
  <si>
    <t>Czech Republic</t>
  </si>
  <si>
    <t>Denmark</t>
  </si>
  <si>
    <t>Egypt</t>
  </si>
  <si>
    <t>Estonia</t>
  </si>
  <si>
    <t>Finland</t>
  </si>
  <si>
    <t>France</t>
  </si>
  <si>
    <t>Georgia</t>
  </si>
  <si>
    <t>Germany</t>
  </si>
  <si>
    <t>Greece</t>
  </si>
  <si>
    <t>Hungary</t>
  </si>
  <si>
    <t>Iceland</t>
  </si>
  <si>
    <t>Ireland</t>
  </si>
  <si>
    <t>Israel</t>
  </si>
  <si>
    <t>Italy</t>
  </si>
  <si>
    <t>Kazakhstan</t>
  </si>
  <si>
    <t>Kyrgyzstan</t>
  </si>
  <si>
    <t>Latvia</t>
  </si>
  <si>
    <t>Lebanon</t>
  </si>
  <si>
    <t>Libya</t>
  </si>
  <si>
    <t>Lithuania</t>
  </si>
  <si>
    <t>Luxembourg</t>
  </si>
  <si>
    <t>Malta</t>
  </si>
  <si>
    <t>Montenegro</t>
  </si>
  <si>
    <t>Morocco</t>
  </si>
  <si>
    <t>Netherlands</t>
  </si>
  <si>
    <t>Norway</t>
  </si>
  <si>
    <t>Poland</t>
  </si>
  <si>
    <t>Portugal</t>
  </si>
  <si>
    <t>Republic of Moldova</t>
  </si>
  <si>
    <t>Romania</t>
  </si>
  <si>
    <t>San Marino</t>
  </si>
  <si>
    <t>Serbia</t>
  </si>
  <si>
    <t>Slovakia</t>
  </si>
  <si>
    <t>Slovenia</t>
  </si>
  <si>
    <t>Spain</t>
  </si>
  <si>
    <t>Sweden</t>
  </si>
  <si>
    <t>Switzerland</t>
  </si>
  <si>
    <t>Syria</t>
  </si>
  <si>
    <t>TFYR Macedonia</t>
  </si>
  <si>
    <t>Tunisia</t>
  </si>
  <si>
    <t>Turkey</t>
  </si>
  <si>
    <t>Ukraine</t>
  </si>
  <si>
    <t>United Kingdom</t>
  </si>
  <si>
    <t>Uzbekistan</t>
  </si>
  <si>
    <t>ალბანეთი</t>
  </si>
  <si>
    <t>ალჟირი</t>
  </si>
  <si>
    <t>სომხეთი</t>
  </si>
  <si>
    <t>ავსტრია</t>
  </si>
  <si>
    <t>აზერბაიჯანი</t>
  </si>
  <si>
    <t>ბელორუსი</t>
  </si>
  <si>
    <t>ბელგია</t>
  </si>
  <si>
    <t>ბოსნია-ჰერცოგოვინა</t>
  </si>
  <si>
    <t>ბულგარეთი</t>
  </si>
  <si>
    <t>ხორვატია</t>
  </si>
  <si>
    <t>კვიპროსი</t>
  </si>
  <si>
    <t>ჩეხეთის რესპუბლიკა</t>
  </si>
  <si>
    <t>დანია</t>
  </si>
  <si>
    <t>ეგვიპტე</t>
  </si>
  <si>
    <t>ესტონეთი</t>
  </si>
  <si>
    <t>ფინეთი</t>
  </si>
  <si>
    <t>საფრანგეთი</t>
  </si>
  <si>
    <t>საქართველო</t>
  </si>
  <si>
    <t>გერმანია</t>
  </si>
  <si>
    <t>საბერძნეთი</t>
  </si>
  <si>
    <t>უნგრეთი</t>
  </si>
  <si>
    <t>ისლანდია</t>
  </si>
  <si>
    <t>ირლანდია</t>
  </si>
  <si>
    <t>ისრაელი</t>
  </si>
  <si>
    <t>იტალია</t>
  </si>
  <si>
    <t>ყაზახეთი</t>
  </si>
  <si>
    <t>ყირგიზეთი</t>
  </si>
  <si>
    <t>ლატვია</t>
  </si>
  <si>
    <t>ლიბია</t>
  </si>
  <si>
    <t>ლიბანი</t>
  </si>
  <si>
    <t>ლიეტუვა</t>
  </si>
  <si>
    <t>ლუქსემბურგი</t>
  </si>
  <si>
    <t>მალტა</t>
  </si>
  <si>
    <t>მონტენეგრო</t>
  </si>
  <si>
    <t>მაროკო</t>
  </si>
  <si>
    <t>ნიდერლანდები</t>
  </si>
  <si>
    <t>ნორვეგია</t>
  </si>
  <si>
    <t>პოლონეთი</t>
  </si>
  <si>
    <t>პორტუგალია</t>
  </si>
  <si>
    <t>მოლდოვა</t>
  </si>
  <si>
    <t>რუმინეთი</t>
  </si>
  <si>
    <t>სან მარინო</t>
  </si>
  <si>
    <t>სერბეთი</t>
  </si>
  <si>
    <t>სლოვაკეთი</t>
  </si>
  <si>
    <t>სლოვენია</t>
  </si>
  <si>
    <t>ესპანეთი</t>
  </si>
  <si>
    <t>შვედეთი</t>
  </si>
  <si>
    <t>შვეიცარია</t>
  </si>
  <si>
    <t>სირია</t>
  </si>
  <si>
    <t>მაკედონია</t>
  </si>
  <si>
    <t>ტუნისი</t>
  </si>
  <si>
    <t>თურქეთი</t>
  </si>
  <si>
    <t>უკრაინა</t>
  </si>
  <si>
    <t>გაერთიანებული სამეფო</t>
  </si>
  <si>
    <t>უზბეკეთი</t>
  </si>
  <si>
    <t>ძალიან მაღალი რისკი</t>
  </si>
  <si>
    <t xml:space="preserve">ასაკი: </t>
  </si>
  <si>
    <t>წელი</t>
  </si>
  <si>
    <t xml:space="preserve">დიაბეტის ხანდაზმულობა  დიაგნოზის მომენტისთვის: </t>
  </si>
  <si>
    <t>არის თუ არა მწეველი?</t>
  </si>
  <si>
    <t>კი</t>
  </si>
  <si>
    <t>არა</t>
  </si>
  <si>
    <t>სისტოლური წნევა</t>
  </si>
  <si>
    <t>mmHg</t>
  </si>
  <si>
    <t>ტოტალური ქოლესტეროლი (მმოლ/ლ)</t>
  </si>
  <si>
    <t>HDL ქოლესტეროლი (მმოლ/ლ)</t>
  </si>
  <si>
    <t>HbA1c (მმოლ/მოლ)</t>
  </si>
  <si>
    <t>ვალიდური დიაპაზონი: 3-10</t>
  </si>
  <si>
    <t>ვალიდური დიაპაზონი: 0.5-3</t>
  </si>
  <si>
    <t>ვალიდური დიაპაზონი: 1-150</t>
  </si>
  <si>
    <t>ვალიდური დიაპაზონი: 10-200</t>
  </si>
  <si>
    <t>eGFR</t>
  </si>
  <si>
    <r>
      <t>მლ/წთ/1.73 მ</t>
    </r>
    <r>
      <rPr>
        <vertAlign val="superscript"/>
        <sz val="11"/>
        <color theme="1"/>
        <rFont val="Calibri"/>
        <family val="2"/>
      </rPr>
      <t>2</t>
    </r>
  </si>
  <si>
    <t>ვალიდური დიაპაზონი: 15-120</t>
  </si>
  <si>
    <t>10-წლიანი კარდიოვასკულური რისკი</t>
  </si>
  <si>
    <t>%</t>
  </si>
  <si>
    <t>ვალიდური ხანდაზმულობა: 30 წელი</t>
  </si>
  <si>
    <t>A</t>
  </si>
  <si>
    <t>IIa</t>
  </si>
  <si>
    <t>IIb</t>
  </si>
  <si>
    <t>C</t>
  </si>
  <si>
    <t>სტატინზე დაფუნძებული თერაპიული რეჟიმის აუტანლობის შემთხვევაში, განხილულ უნდა იქნას PCSK9 ინჰიბიტორის კომბინაცია ეზეტიმიბთან</t>
  </si>
  <si>
    <t>სტატინზე დაფუნძებული თერაპიული რეჟიმის აუტანლობის შემთხვევაში, განხილულ უნდა იქნას ეზეტიმიბის დანიშვნის საკითხი</t>
  </si>
  <si>
    <t>ჰიპერტრიგლიცერიდემიის შემთხვევაში, შესაძლებელია განხილულ იქნას მაღალი დოზით იკოზაპენტ-ეთილის (2 გ დღეში ორჯერ) კომბინაცია სტატინთან</t>
  </si>
  <si>
    <t>III</t>
  </si>
  <si>
    <t>გულის უკმარისობა და შაქრიანი დიაბეტი</t>
  </si>
  <si>
    <t>დიაბეტის და პრედიაბეტის ბიოქიმიური დიაგნოსტიკური კრიტერიუმები</t>
  </si>
  <si>
    <t>შრატის გლუკოზა უზმოდ (FPG)</t>
  </si>
  <si>
    <t>მმოლ/ლ</t>
  </si>
  <si>
    <t>ან</t>
  </si>
  <si>
    <t>მგ/დლ</t>
  </si>
  <si>
    <t>გლუკოზის ტოლერანტობის 2-საათიანი ორალური ტესტი (OGTT)</t>
  </si>
  <si>
    <t>გლიკირებული ჰემოგლობინი (HbA1c)</t>
  </si>
  <si>
    <t>მმოლ/მოლ</t>
  </si>
  <si>
    <t>პაზმის რანდომული გლუკოზა (RPG)</t>
  </si>
  <si>
    <t>WHO, World Health Organization, 2011, 2019</t>
  </si>
  <si>
    <t>ADA, American Diabetes Association, 2021</t>
  </si>
  <si>
    <t>WHO</t>
  </si>
  <si>
    <t>ADA</t>
  </si>
  <si>
    <t>შაქრიანი დიაბეტი</t>
  </si>
  <si>
    <t>პრედიაბეტი</t>
  </si>
  <si>
    <t>დიაბეტის დიაგნოსტიკის რეკომენდაციები</t>
  </si>
  <si>
    <t>კარდიოვასკულური დაავადების (ათეროსკლეროზული კარდიოვასკულური დაავადება, გულის უკმარისობა ანდა წინაგულების ფიბრილაცია) მქონე ყველა პაციენტთან რეკომენდებულია დიაბეტის სკრინინგი უზმოზე გლუკოზის და HbA1c-ის მეშვეობით</t>
  </si>
  <si>
    <t xml:space="preserve">დიაბეტის დიაგნოზი უნდა დაეფუძნოს HbA1c-ის მატებას ანდა უზმოზე ჰიპერგლიკემიას, ან გლუკოზის ტოლერანტობის 2-საათიანი ორალური ტესტის (OGTT) დარღვევას. გლუკოზის მაღალი დონის და ნორმული HbA1c-ის შემთხვევაში სავარაუდოა სტრესული იპერგლიკემია </t>
  </si>
  <si>
    <t>სამიზნე ორგანოების მძიმე დაზიანება (TOD)</t>
  </si>
  <si>
    <r>
      <t>* eGFR 45-49 მლ/წთ/მ</t>
    </r>
    <r>
      <rPr>
        <vertAlign val="superscript"/>
        <sz val="11"/>
        <color theme="1"/>
        <rFont val="Calibri"/>
        <family val="2"/>
      </rPr>
      <t>2</t>
    </r>
    <r>
      <rPr>
        <sz val="11"/>
        <color theme="1"/>
        <rFont val="Calibri"/>
        <family val="2"/>
      </rPr>
      <t xml:space="preserve"> და მიკროალბუმინურია (შარდში ალბუმინის შეფარდება კრეატინინთან (UACR) 30-300მგ/გ; სტადია A2)</t>
    </r>
  </si>
  <si>
    <t>პროტეინურია (UACR &gt; 300 მგ/გ; სტადია A3)</t>
  </si>
  <si>
    <t xml:space="preserve">* სამი სხვადასხვა ლოკალიზაციის (მიკროალბუნიმურია პლუს რეტინოპათია პლუს ნეიროპათია) მიკროვასკულური დაზიანება </t>
  </si>
  <si>
    <r>
      <t>* გლომერულოფილტრაციის გამოთვლილი სიჩქარე (eGFR)&lt;45 მლ/წთ/1.73 მ</t>
    </r>
    <r>
      <rPr>
        <vertAlign val="superscript"/>
        <sz val="11"/>
        <color theme="1"/>
        <rFont val="Calibri"/>
        <family val="2"/>
      </rPr>
      <t>2</t>
    </r>
    <r>
      <rPr>
        <sz val="11"/>
        <color theme="1"/>
        <rFont val="Calibri"/>
        <family val="2"/>
      </rPr>
      <t xml:space="preserve"> ალბუმინურიის მიუხედავად</t>
    </r>
  </si>
  <si>
    <t>გლიკემიის სამიზნეები პაციენტებში ტიპი2 შაქრიანი დიაბეტით და კარდიოვასკულური დაავადებით</t>
  </si>
  <si>
    <t>Charlson Comorbidity Index (CCI)</t>
  </si>
  <si>
    <t>10-წლიანი გადარჩენის პრედიქცია პაციენტებში მრავლობითი კომორბიდობით</t>
  </si>
  <si>
    <t>&lt;50</t>
  </si>
  <si>
    <t>50-59</t>
  </si>
  <si>
    <t>60-69</t>
  </si>
  <si>
    <t>70-79</t>
  </si>
  <si>
    <t>&gt;79</t>
  </si>
  <si>
    <t>* ასაკი</t>
  </si>
  <si>
    <t>* მიოკარდიუმის ინფარქტი</t>
  </si>
  <si>
    <t>* გულის ქრონიკული უკმარისობა</t>
  </si>
  <si>
    <t>* პერიფერიული სისხლძარღვოვანი დაავადება</t>
  </si>
  <si>
    <t>* ცერებროვასკულური ინციდენტი (უმნიშვნელო ნარჩენი მოვლენებით ან ნარჩენს გარეშე) ან ტრანზიტული იშემია</t>
  </si>
  <si>
    <t>* დემენცია (ქრონიკული მენტალური დეფიციტი)</t>
  </si>
  <si>
    <t>* ფილტვების ქრონიკული ობსტრუქციული დაავადება</t>
  </si>
  <si>
    <t>* შემაერთებელქსოვილოვანი დაავადება</t>
  </si>
  <si>
    <t>* პეპტიკური წყლულოვანი დაავადება</t>
  </si>
  <si>
    <t>* ღვიძლის დაავადება</t>
  </si>
  <si>
    <t>* შაქრიანი დიაბეტი</t>
  </si>
  <si>
    <t>* ჰემიპლეგია</t>
  </si>
  <si>
    <t>* სოლიდური სიმსივნე</t>
  </si>
  <si>
    <t>* ლეიკემია</t>
  </si>
  <si>
    <t>* ლიმფომა</t>
  </si>
  <si>
    <t>* შიდს</t>
  </si>
  <si>
    <t>მძიმე (ციროზი და პორტული ჰიპერტენზია, ვარიკოზული სისხლდენით)</t>
  </si>
  <si>
    <t>ზომიერი (ციროზი და პორტული ჰიპერტენზია, სისხლდენის გარეშე)</t>
  </si>
  <si>
    <t>მსუბუქი(ქრონიკული ჰეპატიტი ან ციროზი, პორტული ჰიპერტეზიის გარეშე)</t>
  </si>
  <si>
    <t>გაურთულებელი</t>
  </si>
  <si>
    <t>სამიზნე ორგანოების დაზიანება</t>
  </si>
  <si>
    <t>ლოკალიზებული</t>
  </si>
  <si>
    <t>მეტასტაზური</t>
  </si>
  <si>
    <t>არა ან დიეტით კონტროლირებადი</t>
  </si>
  <si>
    <t>* თირკმლების ქრონიკული დაავადება (ზომიერიდან - მძიმემდე)</t>
  </si>
  <si>
    <t>გადარჩენის 10-წლიანი მაჩვენებელი</t>
  </si>
  <si>
    <t>ê</t>
  </si>
  <si>
    <t xml:space="preserve">ვალიდური დიაპაზონი: 40-69 წელი </t>
  </si>
  <si>
    <t>SCORE-Diabetes &lt;10%</t>
  </si>
  <si>
    <t>დაბალი რისკი</t>
  </si>
  <si>
    <t>საშუალო რისკი</t>
  </si>
  <si>
    <t>მეტფორმინი</t>
  </si>
  <si>
    <t>მაღალი რისკი</t>
  </si>
  <si>
    <t>კლასი Iib</t>
  </si>
  <si>
    <t xml:space="preserve">ძალიან მაღალი რისკი </t>
  </si>
  <si>
    <t>* ემპაგლიფლოზინი</t>
  </si>
  <si>
    <t>* კანაგლიფლოზინი</t>
  </si>
  <si>
    <t>* დაპაგლიფლოზინი</t>
  </si>
  <si>
    <t>* სოტაგლიფლოზინი</t>
  </si>
  <si>
    <t>დადასტურებულად კარდიოვასკულური სარგებლის მომტანი SGLT2 ინჰიბიტორი:</t>
  </si>
  <si>
    <t>დადასტურებულად კარდიოვასკულური სარგებლის მომტანი GLP-1 რეცეპტორის ანტაგონისტი:</t>
  </si>
  <si>
    <t>* ლირაგლუტიდი</t>
  </si>
  <si>
    <t>* სემაგლუტიდი</t>
  </si>
  <si>
    <t>* დულაგლუტიდი</t>
  </si>
  <si>
    <t>* ეფპეგლენატიდი</t>
  </si>
  <si>
    <t>არა ათეროსკლეროზული კარდიოვასკულური დაავადება და სამიზნე ორგანოების მძიმე დაზიანება</t>
  </si>
  <si>
    <t>ათეროსკლეროზული კარდიოვასკულური დაავადება ანდა სამიზნე ორგანოების მძიმე დაზიანება</t>
  </si>
  <si>
    <t>ASCVD ანდა TOD</t>
  </si>
  <si>
    <t>SCORE-Diabetes</t>
  </si>
  <si>
    <t>&lt;10%</t>
  </si>
  <si>
    <t>≥10%</t>
  </si>
  <si>
    <t>ჰიპოგლიკემიური თერაპია კარდიოვასკულური რისკის რედუქციის მიზნით</t>
  </si>
  <si>
    <t>დაბალი</t>
  </si>
  <si>
    <t>ზომიერი</t>
  </si>
  <si>
    <t>მაღალი</t>
  </si>
  <si>
    <t>ძალიან მაღალი</t>
  </si>
  <si>
    <t>კარდიოვასკულური რისკი</t>
  </si>
  <si>
    <t>რეკომენდებული ჰიპოგლიკემიური აგენტი კარდიოასკულური რისკის რედუქციის ეფექტით</t>
  </si>
  <si>
    <t>მეტფორმინი ანდა დადასტურებულად კარდიოვასკულური სარგებლის მომტანი SGLT2 ინჰიბიტორი (ემპაგლიფლოზინი, კანაგლიფლოზინი, დაპაგლიფლოზინი, სოტაგლიფლოზინი) ანდა დადასტურებულად კარდიოვასკულური სარგებლის მომტანი GLP-1 რეცეპტორის ანტაგონისტი (ლირაგლუტიდი, სემაგლუტიდი, დულაგლუტიდი, ეფპეგლენატიდი)</t>
  </si>
  <si>
    <t>დადასტურებულად კარდიოვასკულური სარგებლის მომტანი SGLT2 ინჰიბიტორი (ემპაგლიფლოზინი, კანაგლიფლოზინი, დაპაგლიფლოზინი, სოტაგლიფლოზინი) ანდა დადასტურებულად კარდიოვასკულური სარგებლის მომტანი GLP-1 რეცეპტორის ანტაგონისტი (ლირაგლუტიდი, სემაგლუტიდი, დულაგლუტიდი, ეფპეგლენატიდი)</t>
  </si>
  <si>
    <t>კარდიოვასკულური რისკის რედუქციის უნარის მქონე ჰიპოგლიკემიური თერაპია პაციენტებში ტიპი 2 შაქრიანი დიაბეტით და ათეროსკლეროზული კარდიოვასკულური დაავადებით</t>
  </si>
  <si>
    <t>T2DM + ASCVD</t>
  </si>
  <si>
    <t>გლიკემიის კონტროლის, HbA1c-ის და ჰიპოგლიკემიური მკურნალობის მიუხედავად</t>
  </si>
  <si>
    <t>GLP-1 RA</t>
  </si>
  <si>
    <t>ლირაგლუტიდი, სემაგლუტიდი, დულაგლუტიდი, ეფპეგლენატიდი</t>
  </si>
  <si>
    <t>ემპაგლიფლოზინი, კანაგლიფლოზინი, დაპაგლიფლოზინი, სოტაგლიფლოზინი</t>
  </si>
  <si>
    <t>გლიკემიის დამატებითი კონტროლის საჭიროების შემთხვევაში</t>
  </si>
  <si>
    <t xml:space="preserve">პიოგლიტაზონი </t>
  </si>
  <si>
    <t>არ გამოიყენება გულის უკმარისობის დროს</t>
  </si>
  <si>
    <t>სავარაუდოდ კარდიოვასკულური სარგებლის მქონე ჰიპოგლიკემიური აგნეტი</t>
  </si>
  <si>
    <r>
      <rPr>
        <b/>
        <sz val="11"/>
        <color theme="1"/>
        <rFont val="Calibri"/>
        <family val="2"/>
      </rPr>
      <t>კარდიოვასკულური უსაფრთხოების პროფილის მქონე ჰიპოგლიკემიური აგენტები:</t>
    </r>
    <r>
      <rPr>
        <sz val="11"/>
        <color theme="1"/>
        <rFont val="Calibri"/>
        <family val="2"/>
      </rPr>
      <t xml:space="preserve"> დიპეპტიდილ  პეპტიდაზა 4-ის (DPP-4i: სიტაგლიპტინი, ალოგლიპტინი, ლინაგლიპტინი) ინჰიბიტორები (არ გამოიყეება GLP-1 RA-სთან ერთად), ერტუგლიფლოზინი, სულფონილშარდოვანები (გლიმეპირიდი ან გლიკლაზიდი), ინსულინ გლარგინი ან ინსულინ დეგლუდეკი, სხვა GLP-1 RA (ლიქსიზენატიდი, ექსენატიდი, ორალური სემაგლუტიდი)</t>
    </r>
  </si>
  <si>
    <r>
      <rPr>
        <b/>
        <sz val="11"/>
        <color theme="1"/>
        <rFont val="Calibri"/>
        <family val="2"/>
      </rPr>
      <t>ჰიპოგლიკემიური აგენტები კარდიოვასკულური უსაფრთხოების შეფასების გარეშე:</t>
    </r>
    <r>
      <rPr>
        <sz val="11"/>
        <color theme="1"/>
        <rFont val="Calibri"/>
        <family val="2"/>
      </rPr>
      <t xml:space="preserve"> ხანმოკლე მოქმედების ინსულინი, სხვა სულფონილშარდოვანები</t>
    </r>
  </si>
  <si>
    <r>
      <t xml:space="preserve">SCORE-Diabetes </t>
    </r>
    <r>
      <rPr>
        <sz val="11"/>
        <color theme="0"/>
        <rFont val="Sylfaen"/>
        <family val="1"/>
      </rPr>
      <t>≥</t>
    </r>
    <r>
      <rPr>
        <sz val="11"/>
        <color theme="0"/>
        <rFont val="Calibri"/>
        <family val="2"/>
      </rPr>
      <t>10%</t>
    </r>
  </si>
  <si>
    <t>ჰიპერტენზიის მართვა პაციენტებში შაქრიანი დიაბეტით</t>
  </si>
  <si>
    <t>დიაბეტით დაავადებულ პაციენტებში საოფისე წნევით ≥140/90 mmHg, რეკომენდებულია ჰიპოტენზიური მკურნალობის ინიცირება</t>
  </si>
  <si>
    <t>დიაბეტით დაავადებულ პაციენტებში რეკომენდებულია ჰიპერტენზიის ინდივიდუალიზებული მართვა. სისტოლური წნევის სამიზნე მაჩვენებელი არის 130 mmHg ან &lt;130 mmHg, კარგი ამტანობის შემთხვევეაში, მაგრამ არა &lt;120 mmHg. ასაკოვან პაციენტებში (&gt;65 წელი) სისტოლური წნევის სამიზნე მაჩვენებელი უნდა იყოს 130-139 mmHg დიაპაზონში</t>
  </si>
  <si>
    <t>ჰიპოტეზიურ თერაპიაზე მყოფ პაციენტებში, ინსულტის რისკის რედუქციის მიზნით,  სისტოლური წნევის &lt;130 mmHg სამიზნე მაჩვენებელი შეიძლება განხილულ იქნას იმ ინდივიდებში, რომელთაც გააჩნიათ ცერებროვასკულური გართულებების მაღალი რისკი</t>
  </si>
  <si>
    <t>დიაბეტით და ჰიპერტენზიით დაავადებულ ინდივიდებში რეკომენდებულია ცხოვრების სტილის მოდიფიკაცია</t>
  </si>
  <si>
    <t>მკურნალობის ინიციაცია რეკომენდებულია აგფ ინჰბიტორის და კალციუმის არხი ბლოკერის ან თიაზიდის/თიაზიდისმაგვარი დიურეტიკის კომბინაციით</t>
  </si>
  <si>
    <t>სისხლის წნევის ანომალური 24-საათიანი პატერნის შეფასების მიზნით, განხილულ უნდა იქნას წნევის 24-საათიანი ამბულატორიული მონიტორინგის საკითხი</t>
  </si>
  <si>
    <t>მკურნალობის ეფექტურობის შეფასების მინზით, განხილულ უნდა იქნას სისხლის წნევის ბინაზე მონიტორინგის საკითხი</t>
  </si>
  <si>
    <t>LDL-C-ის სამიზნე მაჩვენებლები კარდიოვასკულური რისკის კატეგორიების მიხედვით</t>
  </si>
  <si>
    <t>ზომიერი რისკი</t>
  </si>
  <si>
    <t>კარდიოვასკულური რისკის კატეგორია</t>
  </si>
  <si>
    <t>დაბალი სიმკვრივის ლიპოპროტეინის ქოლესტეროლის (LDL-C) სამიზნე მაჩვენებელი</t>
  </si>
  <si>
    <t>ანუ</t>
  </si>
  <si>
    <t>&lt;1.4</t>
  </si>
  <si>
    <t>&lt;55</t>
  </si>
  <si>
    <t>&lt;1.8</t>
  </si>
  <si>
    <t>&lt;70</t>
  </si>
  <si>
    <t>&lt;2.6</t>
  </si>
  <si>
    <t>&lt;100</t>
  </si>
  <si>
    <t>არამაღალი სიმკვრივის ლიპოპროტეინის ქოლესტეროლის (non-HDL-C) სამიზნე მაჩვენებელი</t>
  </si>
  <si>
    <t>&lt;2.2</t>
  </si>
  <si>
    <t>&lt;85</t>
  </si>
  <si>
    <t>მაქსიმალურად ასატანი დოზით ლიპიდდამაქვეითებელი თერაპიის (სტატინის და ეზეტიმიბის კომბინაცია) მიმართ რეფრაქტერული LDL-C-ის ელევაციის ან სტატინების აუტანლობის შემთხვევაში, ძალიან მაღალი კარდიოვასკულური რისკის დროს, რეკომენდებულია PCSK9 ინჰიბიტორის გამოყენება</t>
  </si>
  <si>
    <t>შაქრიანი დიაბეტის და დისლიპიდემიის თანაარსებობის შემთხვევაში, სტატინები განეკუთვნება არჩევის მედიკამენტთა ჯგუფს</t>
  </si>
  <si>
    <t>ანტითრომბოზული თერაპია და შაქრიანი დიაბეტი</t>
  </si>
  <si>
    <t>ტიპი 2 შაქრიანი დიაბეტით დაავადებულებში სიმპტომური ათეროსკლეროზული კარდიოვასკულური დაავადების ან რევასკულარიზაციის გარეშე, აბსოლუტური უკუჩვენებების არარასებობის შემთხვევაში, შეიძლება განხილულ იქნას ასპირინით (75-100 მგ/დღ) მკურნალობის საკითხი</t>
  </si>
  <si>
    <t>მწვავე/ქრონიკული კორონარული სინდრომით პაციენტებში, რევასკულარიზაციის შემდგომი ანტიაგრეგაციული თერაპია, ხანგრძლივი ანტიკოაგულაციური მკურნალობის საჭიროების არარსებობის შემთხვევაში</t>
  </si>
  <si>
    <t>კორონარული სინდრომის ტიპი</t>
  </si>
  <si>
    <t>მწვავე კორონარული სინდრომი</t>
  </si>
  <si>
    <t>ქრონიკული კორონარული სინდრომი</t>
  </si>
  <si>
    <t>რევასკულარიზაციის ტიპი</t>
  </si>
  <si>
    <t>კანგავლითი კორონარული ინტერვენცია (PCI)</t>
  </si>
  <si>
    <t>აორტო-კორონარული შუნტირება (CABG)</t>
  </si>
  <si>
    <t>ორმაგი ანტიაგრეგაციული თერაპია: მცირე დოზით ასპირინი და პრასუგრელი ან ტიკაგრელორი. კლასი I</t>
  </si>
  <si>
    <t xml:space="preserve">რეკომენდებული ანტიაგრეგაციული რჟიმი: </t>
  </si>
  <si>
    <t>რევასკულარიზაციიდან პირველი 12 თვის განმავლობაში</t>
  </si>
  <si>
    <t>მე-13 თვიდან 35-ე თვის ჩათვლით</t>
  </si>
  <si>
    <t>მე-13 თვიდან, განუსაზღვრელი ვადით</t>
  </si>
  <si>
    <t>დაბალი დოზით ასპირინი. კლასი I</t>
  </si>
  <si>
    <t>დუალური ანტიაგრეგაციული თერაპია, სისხლდენის რისკის მიხედვით. კლასი IIa</t>
  </si>
  <si>
    <t>36-ე თვიდან, განუსაზღვრელი ვადით</t>
  </si>
  <si>
    <t>დუალური ანტიაგრეგაცია: დაბალი დოზით ასპირინი და კლოპიდოგრელი. კლასი I</t>
  </si>
  <si>
    <t>რევასკულარიზაციიდან პირველი 6 თვის განმავლობაში</t>
  </si>
  <si>
    <t>მე-7 თვიდან, განუსაზღვრელი ვადით</t>
  </si>
  <si>
    <t>რევასკულარიზაციიდან, განუსაზღვრელი ვადით</t>
  </si>
  <si>
    <t>პაციენტებში შაქრიანი დიაბეტით და მიოკარდიუმის ინფარქტის ან რევასკულარიზაციის ანამნეზით, რეკომენდებულია ასპირინი მცირე დოზით (75-100 მგ/დღ)</t>
  </si>
  <si>
    <r>
      <t>პაციენტებში შაქრიანი დიაბეტით და მწვავე კორონარული სინდრომით, კანგავლითი რევასკულარიზაციის შემდგომ, რეკომენდებულია ასპირინით (75-100 მგ/დღ) და P2Y</t>
    </r>
    <r>
      <rPr>
        <vertAlign val="subscript"/>
        <sz val="10"/>
        <color theme="1"/>
        <rFont val="Calibri"/>
        <family val="2"/>
      </rPr>
      <t>12</t>
    </r>
    <r>
      <rPr>
        <sz val="10"/>
        <color theme="1"/>
        <rFont val="Calibri"/>
        <family val="2"/>
      </rPr>
      <t xml:space="preserve"> რეცეპტორის ინჰიბიტორით  (ტიკაგრელორი ან პრასუგრელი) კომბინირებული თერაპია 12 თვის განმავლობაში</t>
    </r>
  </si>
  <si>
    <t>პაციენტებში შაქრიანი დიაბეტით და ქრონიკული კორონარული სინდრომით, კანგავლითი რევასკულარიზაციის შემდგომ, სტენტის სახეობის მიუხედავად, რეკომენდებულია ასპირინით (75-100 მგ/დღ) და ოპიდოგრელით (75 მგ/დღ) კომბინირებული თერაპია 6 თვის განმავლობაში</t>
  </si>
  <si>
    <t>ასპირინის აუტანლობის შემთხვევაში, რეკომენდებულია მისი ჩანაცვლება კლოპიდოგრელით</t>
  </si>
  <si>
    <r>
      <t>მწვავე კორონარული სინდრომის გამო დუალურ ანტიაგრეგაციულ თერაპიაზე მყოფ, შაქრიანი დიაბეტით დაავადებულ პაციენტებში, მწვავე კორონარული სინდრომის გამო ჩატარებული აორტო-კორონარული შუნტირების შემდგომ, მალევე უნდა აღდგეს P2Y</t>
    </r>
    <r>
      <rPr>
        <vertAlign val="subscript"/>
        <sz val="10"/>
        <color theme="1"/>
        <rFont val="Calibri"/>
        <family val="2"/>
      </rPr>
      <t>12</t>
    </r>
    <r>
      <rPr>
        <sz val="10"/>
        <color theme="1"/>
        <rFont val="Calibri"/>
        <family val="2"/>
      </rPr>
      <t xml:space="preserve"> რეცეპტორის ინჰიბიტორი, თუ არ არის ხანგრძლივი ორალური ანტიკოაგულაციის საჭიროება. მკურნალობა უნდა გაგრძელდეს 12 თვე. </t>
    </r>
  </si>
  <si>
    <t xml:space="preserve">დუალური ანტიაგრეგაციის კარგი ამტანობის შემთხვევაში, შეიძლება განხილულ იქნას 12 თვის შემდგომ დუალური ანტიაგრეგაციის პროლონგირება 3 წლამდე </t>
  </si>
  <si>
    <t>პაციენტებში შაქრიანი დიაბეტით და ქრონიკული კორონარული სინდრომით ან პერიფერიული არტერიების სიმპტომური დაავადებით, სისხლდენის დაბალი რისკსი შემთხვევაში, განხილულ უნდა იქნას დაბალი დოით ასპირინის და ძალიან დაბალი დოზით რივაროქსაბანის (2.5 მგ ორჯერ) კომბინაცია</t>
  </si>
  <si>
    <t xml:space="preserve">ანტიაგრეგაციულ თერაპიაზე მყოფ პაციენტებში წინაგულების ფიბრილაციით, რეკომენდებულია არა-ვიტამინ K ორალური ანტიკოაგულანტი (NOAC), თუ არ არის შემდეგი უკუჩვენებები: გულის სარქვლების მექანიკური პროთეზი, მიტრალური სტენოზი, გლომერულოფილტაციის სიჩქარის ზღვრული დაქვეითება </t>
  </si>
  <si>
    <t>პაციენტებში შაქრიანი დიაბეტით და მწვავე ან ქრონიკული კორონარული სინდრომით, კანგავლითი კორონარული ინტერვენციის (სტენტის იმპლანტაცია) შემდგომ, ანტიკოაგულაციის ჩვენების შემთხვევაში, რეკომენდებულია ერთკვირიანი სამმაგი თერაპია ასპირინის დაბალი დოზით, კლოპიდოგრელით და ორალური ანტიკოაგულანტით, რასაც უნდა მოჰყვეს ორმაგი თერაპია ორალური ანტიკოაგულანტით და ერთი ატიაგრეგანტით</t>
  </si>
  <si>
    <t>პაციენტებში შაქრიანი დიაბეტით და მწვავე ან ქრონიკული კორონარული სინდრომით, კანგავლითი კორონარული ინტერვენციის (სტენტის იმპლანტაცია) შემდგომ, ანტიკოაგულაციის ჩვენების შემთხვევაში, განხილულ უნდა იქნას ერთთვიანი სამმაგი თერაპია ასპირინის დაბალი დოზით, კლოპიდოგრელით და ორალური ანტიკოაგულანტით, თუ კონკრეტულ პაციენტთან თრომბოზის რისკი აღემატება სისხლდენის რისკს</t>
  </si>
  <si>
    <t>პაციენტებში შაქრიანი დიაბეტით და მწვავე ან ქრონიკული კორონარული სინდრომით, კანგავლითი კორონარული ინტერვენციის (სტენტის იმპლანტაცია) შემდგომ, ანტიკოაგულაციის ჩვენების შემთხვევაში, შეიძლება განხილულ  იქნას სამთვიანი სამმაგი თერაპია ასპირინის დაბალი დოზით, კლოპიდოგრელით და ორალური ანტიკოაგულანტით, თუ კონკრეტულ პაციენტთან თრომბოზის რისკი აღემატება სისხლდენის რისკს</t>
  </si>
  <si>
    <t>ანტითრომბოზული მედიკამენტების კომბინირებული რეჟიმის შემთხვევაში, რეკომენდებულია გასტროინტესტინური სისხლდენის პრევენცია პროტონული ტუმბოს ინჰიბიტორის მეშვეობით</t>
  </si>
  <si>
    <t>ანტიაგრეგანტით ან ანტიკოაგულანტით მონოთერაპიის შემთხვევაში, შეიძლება განხილულ იქნას გასტროინტესტინური სისხლდენის პრვენცია პროონული ტუმბოს ინჰიბიტორის შემთხვევაში, სისხლდენის ინდივიდუალური რისკის შეფასების შემდგომ</t>
  </si>
  <si>
    <t>კლოპიდოგრელის გამოყენების შემთვევაში, გასტროპროტექციის მიზნით, არ არის რეკომენდებული ომეპრაზოლის და ესომეპრაზოლის გამოყენება</t>
  </si>
  <si>
    <t>კორონარული დაავადება და შაქრიანი დიაბეტი</t>
  </si>
  <si>
    <t>რევასკულარიზაციის რეკომენდაციები დიაბეტით დაავადებულ პაციენტებში</t>
  </si>
  <si>
    <t>რეკომენდებულია საყოველთაოდ მიღებული მიდგომების (წამლით დაფარული სტენტი, რადიალური მიდგომა, კანგავლითი კორონარული ინტერვენციის დროს და შიგნითა აერტერია მამარია, აორტო-კორონარული შუნტირების დროს) გამოყენება</t>
  </si>
  <si>
    <t>პაციენტებში, კორონარების მრავლობითი დაზიანების ფონზე, კარდიოგენული  შოკის გარეშე განვითარებული STEMI-ით, რეკომენდებულია სრული რევასკულარიზაცია</t>
  </si>
  <si>
    <t>ქრონიკული კორონარული სინდრომის შემთხვევაში რევასკულარიზაცია რეკომნდებულია ოპტიმალური ფარმაკოთერაპიისადმი რეზისტენტობის შემთხვევაში ან იშემიის დიდი არეალის (&gt;10%) შემთხვევაში</t>
  </si>
  <si>
    <t>პაციენტებში, კორონარების მრავლობითი დაზიანების ფონზე, კარდიოგენული  შოკის გარეშე განვითარებული NSTE-ACS-ით, განხილულ უნდა იქნას სრული რევასკულარიზაცია</t>
  </si>
  <si>
    <t>მულტისისხლძარღვოვანი დაზიანების ფინზე განვითარებული და კარდიოგენული შოკით გართულებული მიოკარდიუმის ინფარქტის შემთხვევაში არ არის რეკომენდებული არაინფარქტდამოკიდებული კორონარის დაუყოვნებელი, რუტინული რევასკულარიზაცია</t>
  </si>
  <si>
    <t>გლიკემიის კონტროლის რეკომენდაციები პაციენტებში დიაბეტით და მწვავე კორონარული სინდრომით</t>
  </si>
  <si>
    <t xml:space="preserve">ყველა პაციენტთან მწვავე კორონარული სინდრომით, რეკომენდებულია გლიკემიის სტატუსის შეფასება  </t>
  </si>
  <si>
    <t>დადგენილი დიაბეტის ან ჰიპერგლიკემიის შემთხვევაში, რეკომენდებულია სისხლის შრატში გლუკოზის დონის ხშირი მონიტორინგი</t>
  </si>
  <si>
    <t>პაციენტებში მწვავე კორონარული სინდრომით და პერსისტიული ჰიპერგლიკემიით, განხილულ უნდა იქნას ჰიპოგლიკემიური თერაპია და თავიდან აცილებულ უნდა იქნას ჰიპოგლიკემიის ეპიზოდები</t>
  </si>
  <si>
    <t>გულის უკმარისობა შენახული განდევნის ფრაქციით (HFpEF)</t>
  </si>
  <si>
    <t>გულის უკმარისობა საშუალო რანგის განდევნის ფრაქციით (HFmrEF)</t>
  </si>
  <si>
    <t>გულის უკმარისობა განდევნის ფრაქციის დაქვეითებით (HFrEF)</t>
  </si>
  <si>
    <t xml:space="preserve">გულის უკმარისობის ფენოტიპი </t>
  </si>
  <si>
    <t>სიმპტომები/ნიშნები</t>
  </si>
  <si>
    <t>EF%</t>
  </si>
  <si>
    <t>სხვა</t>
  </si>
  <si>
    <t>LVEF≥50%</t>
  </si>
  <si>
    <t>გულის უკმარისობის სიმპტომები/ნიშნები (მაგ., ქოშინი, პერიფერიული შეშუპებები, სისუსტე) შეიძლება არ იყოს დასაწყისში ან დიურეტიკებით მკურნალობის ფონზე)</t>
  </si>
  <si>
    <t>LVEF 41-49%</t>
  </si>
  <si>
    <t>LVEF≤40%</t>
  </si>
  <si>
    <t>გულის სტრუქტურული ანდა ფუნქციური ცვლილებები (მარცხენა პარკუჭის დიასტოლური დისფუნქცია ან ავსების წნევის მატება) და NT-proBNPoBNP ≥125 პგ/მლ (წინაგულების ფიბრილაციის შემთხვევაში ≥365 პგ/მლ) ან BNP≥35 პგ/მლ (წინაგულების ფიბრილაციის შემთხვევაში ≥105 პგ/მლ)</t>
  </si>
  <si>
    <t>NT-proBNPoBNP ≥125 პგ/მლ (წინაგულების ფიბრილაციის შემთხვევაში ≥365 პგ/მლ) ან BNP≥35 პგ/მლ (წინაგულების ფიბრილაციის შემთხვევაში ≥105 პგ/მლ)</t>
  </si>
  <si>
    <t>გულის უკმარისობის სკრინინგის რეკომენდაციები</t>
  </si>
  <si>
    <t>გულის უკმარისობაზე ეჭვის შემთხვევაში რეკომენდებულია NT-proBNP-ის ან BNP-ის ანალიზის წარმოება</t>
  </si>
  <si>
    <t>რეკომენდებულია 12-განხრიანი ელექტროკარდიოგრაფიის, ტრანსთორაკალური ექოკარდიოგრაფიის და გულმკერდის რენტგენოგრაფიის წარმოება</t>
  </si>
  <si>
    <t>კომორბიდობების სკრინინგის მიზნით რეკომენდებულია სისხლის საერთო ანალიზის, შარდოვანას/კრეატინინის, ელექტროლიტების, ფარისებრი ჯირკვლის ფუნქციური პანელის, ლიპიდების და რკინის სტატუსის (ფერიტინი, ტრანსფერინის სატურაცია) ანალიზი</t>
  </si>
  <si>
    <t>HFrEF-ის (NYHA II-IV) მკურნალობის რეკომენდაციები პაციენტებში შაქრიანი დიაბეტით</t>
  </si>
  <si>
    <t>პაციენტებში HFrEF-ით და შაქრიანი დიაბეტით, გულის უკმარისობით ჰოსპიტალიზაციის და ლეტალობის რისკის რედუქციის მიზნით, რეკომენდებულია SGLT2 ინჰიბიტორით (დაპაგლიფლოზინი, ემპაგლიფლოზინი ან სოტაგლიფლოზინი [დუალური SGLT 1/2 ინჰიბიტორი]) მკურნალობა</t>
  </si>
  <si>
    <t>პაციენტებში HFrEF-ით და შაქრიანი დიაბეტით, გულის უკმარისობით ჰოსპიტალიზაციის და ლეტალობის რისკის რედუქციის მიზნით, რეკომენდებულია საკუბიტრილ/ვალსარტანით ან აგფ ინჰიბტორით მკურნალობა მკურნალობა</t>
  </si>
  <si>
    <t>პაციენტებში HFrEF-ით და შაქრიანი დიაბეტით, გულის უკმარისობით ჰოსპიტალიზაციის და ლეტალობის რისკის რედუქციის მიზნით, რეკომენდებულია ბეტა-ბლოკერები (დაყოვნებული გამოთავისუფლების მეტოპროლოლ-სუქცინატი, კავრედილოლი, ბისოპროლოლი ან ნებივოლოლი)</t>
  </si>
  <si>
    <t>პაციენტებში HFrEF-ით და შაქრიანი დიაბეტით, გულის უკმარისობით ჰოსპიტალიზაციის და ლეტალობის რისკის რედუქციის მიზნით, რეკომენდებულია მონერალოკორტიკოიდული რეცეპტორების ანტაგონისტით (სპირონოლაქტონი ან ეპლერენონი) მკურნალობა</t>
  </si>
  <si>
    <t>პაციენტებში HFrEF-ით და შაქრიანი დიაბეტით, გულის უკმარისობით ჰოსპიტალიზაციის და ლეტალობის რისკის რედუქციის მიზნით, საკუბიტრილ/ვალსარტანის ან აგფ ინჰიბიტორის აუტანლობის შემთხვევაში, რეკომენდებულია ანგიოტენზინის რეცეპტორების ბლოკერით მკურნალობა</t>
  </si>
  <si>
    <t>პაციენტებში HFrEF-ით, შაქრიანი დიაბეტით და მოცულობითი შეკავების ნიშნებით, რეკომენდებულია დიურეზული თერაპია, სიმპტომების, ფიზიკური დატვირთვისადმი ტოლერანტობის და ჰოსპიტალიზაციის მაჩვენებლების გაუმჯობესების მიზნით</t>
  </si>
  <si>
    <t>პაციენტებში HFrEF-ით, შაქრიანი დიაბეტით, მოსვენების მდგომარეობაში ≥70/წთ სიხშირის სინუსური რითმით და მიუხედავად მასქიმალურად ასატანი დოზით ბეტა-ბლოკერის, აგფი/არბ-სა და მინერალკორტიკოიდული რეცეპტორის ანტაგონისტით მკურნალობის მიმართ რეზისტენტული სიმპტომებით,  განხილულ უნდა იქნას ივაბრადინით თერაპიაგულის უკმარისობით ჰოსპიტალიზაციის და კარდიოვასკულური სიკვდილობის რისკის რედუქციის მიზნით</t>
  </si>
  <si>
    <t>სიმპტომურ პაციენტებში სინუსური რითმით, მიუხედავად საკუბიტრილ/ვალსარტანით ან აგფ ინჰიბიტორით, ბეტა ბლოკერით დამინერალოკორტიკოიდული რეცეპტორის ანტაგონისტით მკურნალობისა, შეიძლება განხილულ  იქნას დიგოქისნით მკურნალობა, ჰოსპიტალიზაციის რისკის რედუქციის მიზნით</t>
  </si>
  <si>
    <t xml:space="preserve">პაციენტებში ტიპი 2 შაქრიანი დიაბეტით და HFpEF-ით, რეკომენდებულია ემპაგლიფლოზინი ან დაპაგლიფლოზინი, გულის უკმარისობით ჰოსპიტალიზაციის და კარდიოვასკულური სიკვდილობის რისკის რედუქციის მინზით </t>
  </si>
  <si>
    <t xml:space="preserve">პაციენტებში ტიპი 2 შაქრიანი დიაბეტით და HFmrEF-ით, რეკომენდებულია ემპაგლიფლოზინი ან დაპაგლიფლოზინი, გულის უკმარისობით ჰოსპიტალიზაციის და კარდიოვასკულური სიკვდილობის რისკის რედუქციის მინზით </t>
  </si>
  <si>
    <t>პაციენტებში HFpEF-ით, შაქრიანი დიაბეტით და მოცულობითი შეკავების ნიშნებით, რეკომენდებულია დიურეზული თერაპია, სიმპტომების, ფიზიკური დატვირთვისადმი ტოლერანტობის და ჰოსპიტალიზაციის მაჩვენებლების გაუმჯობესების მიზნით</t>
  </si>
  <si>
    <t>პაციენტებში HFmrEF-ით, შაქრიანი დიაბეტით და მოცულობითი შეკავების ნიშნებით, რეკომენდებულია დიურეზული თერაპია, სიმპტომების, ფიზიკური დატვირთვისადმი ტოლერანტობის და ჰოსპიტალიზაციის მაჩვენებლების გაუმჯობესების მიზნით</t>
  </si>
  <si>
    <t>ჰიპოგლიკემიური მედიკამენტები პაციენტებში დიაბეტით და გულის უკმარისობით ან უკმარისობის გარეშე</t>
  </si>
  <si>
    <t>გულის უკმარისობის რისკის რედუქციული ეფექტის ჰიპოგლიკემიური აგენტები ტიპი 2 შაქრიანი დიაბეტით პაციენტებში, გულის უკმარისობით ან უკმარისობის გარეშე</t>
  </si>
  <si>
    <t>პაციენტებში ტიპი 2 შაქრიანი დიაბეტით და ათეროსკლეროზული კარდიოვასკულური დაავადების მრავლობითი რისკ-ფაქტორებით ან დადგენილი კარდიოვასკულური დაავადებით, რეკომენდებულია SGLT2 ინჰიბიტორი (ემპაგლიფლოზინი, კანაგლიფლოზინი, დაპაგლიფლოზინი, ერთუგლიფლოზინი ან სოტაგლიფლოზინი [დუალური SGLT 1/2 ინჰიბიტორი]), გულის უკმარისობით ჰოსპიტალიზაციის რისკის რედუქციის მიზნით</t>
  </si>
  <si>
    <t>პაციენტებში ტიპი 2 შაქრიანი დიაბეტით და HFrEF-ით, რეკომენდებულია SGLT2 ინჰიბიტორი (დაპაგლიფლოზინი, ემპაგლიფლოზინი ან სოტაგიფლოზინი), გულის უკმარისობით ჰოსპიტალიზაციის და კარდიოვასკულური სიკვდილობის რისკის რედუქციის მიზნით</t>
  </si>
  <si>
    <t>პაციენტებში ტიპი 2 შაქრიანი დიაბეტით და &gt;40% განდევნის ფრაქციით, რეკომენდებულია ემპაგლიფლოზინი ან დაპაგლიფლოზინი, გულის უკმარისობით ჰოსპიტალიზაციის და კარდიოვასკულური სიკვდილობის რისკის რედუქციის მიზნით</t>
  </si>
  <si>
    <t>რეკომენდაციები გულის უკმარისობით ჰოსპიტალიზაციის უსაფრთხოების მაღალი პროფილის მქონე დამატებით ჰიპოგლიკემიური აგენტების თაობაზე, დიაბეტით დაავადებულებში, დამატებითი ჰიპოგლიკემიური თერაპიის საჭიროების დროს</t>
  </si>
  <si>
    <t>პაციენტებში ტიპი 2 შაქრიანი დიაბეტით და გულის უკმარისობის რისკით ან გულის უკმარისობით, განხილულ უნდა იქნას გულის უკმარისობით ჰოსპიტალიზაციის რისკზე ნეიტრალური ეფექტის მქონე GLP-1 რეცეპტორების ანტაგონისტის (ლიქსისენატიდი, ლირაგლუტიდი, სემაგლუტიდი, ექსენატიდი, დულაგლუტიდი, ეფპეგლენატიდი) დამატების საკითხი</t>
  </si>
  <si>
    <t>პაციენტებში ტიპი 2 შაქრიანი დიაბეტით და გულის უკმარისობის რისკით ან გულის უკმარისობით, განხილულ უნდა იქნას გულის უკმარისობით ჰოსპიტალიზაციის რისკზე ნეიტრალური ეფექტის მქონე DPP-4 (დიპეპტიდილ პეპტიდაზა-4) ინჰიბიტორის (სიტაგლიპტინი, ლინაგლიპტინი) დამატების საკითხი</t>
  </si>
  <si>
    <t>პაციენტებში ტიპი 2 შაქრიანი დიაბეტით და გულის უკმარისობის რისკით ან გულის უკმარისობით, განხილულ უნდა იქნას გულის უკმარისობით ჰოსპიტალიზაციის რისკზე ნეიტრალური ეფექტის მქონე ბაზალური ინსულინის (გლარგინი, დეგლუდეკი) დამატების საკითხი</t>
  </si>
  <si>
    <t>ჰიპოგლიკემიური თერაპიის რეკომენდაციები გულის უკმარისობით ჰოსპიტალიზაციის გაზრდილი მაღალი რისკის შემთხვევაში, პაციენტებში შაქრიანი დიაბეტით</t>
  </si>
  <si>
    <t>დიაბეტით დაავადებულ პაციენტებში გული სუკმარისობის რისკით ან გულის უკმარისობის ანამნეზით, არ არის რეკომენდებული პიოგლიტაზონის გამოყენება, გულის უკმარისობის მაღალ ინციდენტობასთან ასოცირების გამო</t>
  </si>
  <si>
    <t>დიაბეტით დაავადებულ პაციენტებში გული სუკმარისობის რისკით ან გულის უკმარისობის ანამნეზით, არ არის რეკომენდებული DPP-4 ინჰიბიტორის - საქსაგლიპტინის გამოყენება, გულის უკმარისობით ჰოსპიტალიზაციის გაზრდილი რისკის გამო</t>
  </si>
  <si>
    <t>წინაგულების ფიბრილაციის სკრინინგი და მკურნალობა პაციენტებში შაქრიანი დიაბეტით</t>
  </si>
  <si>
    <t>უსიმპტომო პაციენტი</t>
  </si>
  <si>
    <t>პაციენტის სტატუსი</t>
  </si>
  <si>
    <t>ეჭვი წინაგულთა ფიბრილაციაზე</t>
  </si>
  <si>
    <t>12-განხრიანი ელექტროკარდიოგრაფია</t>
  </si>
  <si>
    <t>სიმპტომური პაციენტი (მაგ., გულის ფრიალი, ქოშინი) და ეჭვით წინაგულთა ფიბრილაციაზე</t>
  </si>
  <si>
    <t>არის წინაგულთა ფიბრილაციის ეკგ ნიშნები</t>
  </si>
  <si>
    <t xml:space="preserve">არ არის წინაგულთა ფიბრილაციის ეკგ ნიშნები, თუმცა სიმპტომები კვლავ საეჭვოა ან არის წინაგულთა ფიბრილაციის მაღალი რისკი ან არის იშემიური ინსულტის მაღალი რისკი (CHA2DS2-VASc &gt;1 კაცებში და &gt;2 ქალებში, დიაბეტით) </t>
  </si>
  <si>
    <t>იხილეთ CHA2DS2-VASc კალკულატორი</t>
  </si>
  <si>
    <t>სისტემატური სკირინინგი (მაგ., განმეორებითი ეკგ, ჰოლტერის მონიტორი, პაციენტის მიერ აქტივირებადი ან სატარებელი მოწყობილობები)</t>
  </si>
  <si>
    <t>წინაგულთა ფიბრილაცია</t>
  </si>
  <si>
    <t>არ არის წინაგულთა ფიბრილაცია</t>
  </si>
  <si>
    <t>ორალური ანტიკოაგულანტის ინიცირება CHA2DS2-VASc-ის ქულის მიხედვით</t>
  </si>
  <si>
    <t>განმეორებითი სკრინინგი</t>
  </si>
  <si>
    <t>ოპორტუნისტული სკრინინგი (მაგ., პულსი, ეკგ)</t>
  </si>
  <si>
    <t>ასაკი</t>
  </si>
  <si>
    <t>გულის შეგუბებითი უკმარისობის ანამნეზი</t>
  </si>
  <si>
    <t>ჰიპერტენზიის ანამნეზი</t>
  </si>
  <si>
    <t>ინსულტის/ტრანზიტული იშემიის/თრომბოემბოლიზმის ანამნეზი</t>
  </si>
  <si>
    <t>სისხლძარღვოვანი დაავადების (მიოკარდიუმის გადატანილი ინფარქტი, პერიფერიული არტერიების დაავადება, აორტული ფოლაქები) ანამნეზი</t>
  </si>
  <si>
    <t>კაცი</t>
  </si>
  <si>
    <t>ქალი</t>
  </si>
  <si>
    <t>შაქრიანი დიაბეტის ანამნეზი</t>
  </si>
  <si>
    <r>
      <t>CHA</t>
    </r>
    <r>
      <rPr>
        <b/>
        <vertAlign val="subscript"/>
        <sz val="11"/>
        <color theme="1"/>
        <rFont val="Calibri"/>
        <family val="2"/>
        <charset val="204"/>
        <scheme val="minor"/>
      </rPr>
      <t>2</t>
    </r>
    <r>
      <rPr>
        <b/>
        <sz val="11"/>
        <color theme="1"/>
        <rFont val="Calibri"/>
        <family val="2"/>
        <charset val="204"/>
        <scheme val="minor"/>
      </rPr>
      <t>DS</t>
    </r>
    <r>
      <rPr>
        <b/>
        <vertAlign val="subscript"/>
        <sz val="11"/>
        <color theme="1"/>
        <rFont val="Calibri"/>
        <family val="2"/>
        <charset val="204"/>
        <scheme val="minor"/>
      </rPr>
      <t>2</t>
    </r>
    <r>
      <rPr>
        <b/>
        <sz val="11"/>
        <color theme="1"/>
        <rFont val="Calibri"/>
        <family val="2"/>
        <charset val="204"/>
        <scheme val="minor"/>
      </rPr>
      <t>-VASc ქულა</t>
    </r>
  </si>
  <si>
    <t>იშემიური ინსულტის რისკი</t>
  </si>
  <si>
    <t>ჰემორაგიული ინსულტის/ტრანზიტული იშემიის/თრომბოემბოლიზმის რისკი (%)</t>
  </si>
  <si>
    <t>წინაგულთა ფიბრილაციის დროს ინსულტის რისკის CHA2DS2-VASc ქულა</t>
  </si>
  <si>
    <t>წინაგულების ფიბრილაციის სკრინინგი პაციენტებში შაქრიანი დიაბეტით</t>
  </si>
  <si>
    <t>&lt;65 წლის პაციენტებში შაქრიანი დიაბეტით, რეკომენდებულია წინაგულების ფიბრილაციის ოპორტუნისტული სკრინინგი, პულსის კონტროლით ან ელექტროკარდიოგრაფიით, რადგან დიაბეტი ასოცირებულია წინაგულების ფიბრილაციის მაღალ სიხშირესთან ახალგაზრდა ასაკში</t>
  </si>
  <si>
    <t>≥65 წლის პაციენტებში რეკომენდებულია წინაგულების ფიბრილაციის ოპორტუნისტული სკრინინგი, პულსის კონტროლით ან ელექტროკარდიოგრაფიით</t>
  </si>
  <si>
    <t>≥75 წლის ან ინსულტის მაღალი რისკის პაციენტებში განხილულ უნდა იქნას წინაგულების ფიბრილაციის სისტემატური ელექტროკარდიოგრაფიული სკრინინგი</t>
  </si>
  <si>
    <t>ანტიკოაგულაცია</t>
  </si>
  <si>
    <t>ინსულტის პრევენციის მიზნით უპირატესობა ენიჭება არავიტამინ K-ანტაგონისტურ ორალურ ანტიკოაგულანტებს. გამონაკლისს წარმოადგენენ პაციენტები სარქვლის მექანიკური პროთეზით ან ზომიერი/მძიმე მიტრალური სტენოზით</t>
  </si>
  <si>
    <t>პაციენტებში წინაგულების ფიბრილაციით, შაქრიანი დიაბეტით და ინსულტის ერთი დამატებითი რისკ-ფაქტორით (CHA2DS2-VASc) მაინც, ინსულტის პრევენციის მიზნით, რეკომენდებულია ორალური ანტიკოაგულაცია</t>
  </si>
  <si>
    <t>პაციენტებში წინაგულების ფიბრილაციით და შაქრიანი დიაბეტით (ტიპი 1 შაქრიანი დიაბეტი და &lt;65 წლის ტიპი 2 შაქრიანი დიაბეტი), ინსულტის დამატებითი რისკ-ფაქტორების (CHA2DS2-VASc) გარეშე, ინსულტის პრევენციის მიზნით, განხილულ უნდა იქნას ორალური ანტიკოაგულაციის საკითხი</t>
  </si>
  <si>
    <t>ანტიკოაგულაციურ თერაპიაზე მყოფ პაციენტებში წინაგულების ფიბრილაციით და შაქრიანი დიაბეტით, განხილულ უნდა იქნას სისხლდენის მოდიფიცირებადი და არამოდიფიცირებადი რისკ-ფაქტორების შეფასება HAS-BLED სისტემით</t>
  </si>
  <si>
    <t>წინაგულთა ფიბრილაციის დროს ანტიკოაგულაციასთან ასოცირებული სისხლდენის HAS-BLED ქულა</t>
  </si>
  <si>
    <t>იხილეთ HAS-BLED კალკულატორი</t>
  </si>
  <si>
    <t>ჰიპერტენზია</t>
  </si>
  <si>
    <t>თირკმლის დაავადება (დიალიზი, ტრანსპლანტაცია, კრეატინინი Cr &gt;2.26 მგ/დლ ან 200 მკმოლ/ლ)</t>
  </si>
  <si>
    <t>ღვიძლის დაავადება (ციროზი ან ნორმაზე &gt;2-ჯერ მეტი ბილირუბინი, ნორმაზე &gt;3-ჯერ მეტი ასტ/ალტ/ტუტე ფოსფატაზასთა ერთად)</t>
  </si>
  <si>
    <t>ინსულტის ანამნეზი</t>
  </si>
  <si>
    <t>დიდი სისხლდენის ანამნეზი ან სისხლდენისადმი წინასწარგანწყობა</t>
  </si>
  <si>
    <t>ლაბილური INR (არასტაბილური/მაღალი INR, თერაპიულ დიაპაზონში დროსი &lt;60%-ში)</t>
  </si>
  <si>
    <t>ასაკი &gt;65 წელი</t>
  </si>
  <si>
    <t>სისხლდენის რისკთან ასოცირებული მედიკამენტების მიღება</t>
  </si>
  <si>
    <t>ალკოჰოლის ჭარბად მოხმარება (≥8 დოზა/კვირა)</t>
  </si>
  <si>
    <t>HAS-BLED ქულა</t>
  </si>
  <si>
    <t>რისკის ჯგუფი</t>
  </si>
  <si>
    <t xml:space="preserve">დიდი სისხლდენის რისკი </t>
  </si>
  <si>
    <t>რეკომენდაცია</t>
  </si>
  <si>
    <t>განხილულ უნდა იქნას ანტიკოაგულაცია</t>
  </si>
  <si>
    <t>შეფარდებით დაბალი</t>
  </si>
  <si>
    <t xml:space="preserve">ზომიერი </t>
  </si>
  <si>
    <t>შეიძლება განხილულ იქნას ანტიკოაგულაცია</t>
  </si>
  <si>
    <t>განხილულ უნდა იქნას ანტიკოაგულაციის ალტერნატივა</t>
  </si>
  <si>
    <t>&gt;5</t>
  </si>
  <si>
    <t>&gt;10</t>
  </si>
  <si>
    <t>მლ/წთ/1.73მ2</t>
  </si>
  <si>
    <t>შარდის ალბუმინის შეფარდება კრეატინინთან</t>
  </si>
  <si>
    <t>ალბუმინურია</t>
  </si>
  <si>
    <t>მგ/გ</t>
  </si>
  <si>
    <t>მგ/მმოლ</t>
  </si>
  <si>
    <t>→</t>
  </si>
  <si>
    <t>G1</t>
  </si>
  <si>
    <t>G2</t>
  </si>
  <si>
    <t>G3a</t>
  </si>
  <si>
    <t>G3b</t>
  </si>
  <si>
    <t>G4</t>
  </si>
  <si>
    <t>G5</t>
  </si>
  <si>
    <t>&gt;89</t>
  </si>
  <si>
    <t>60-89</t>
  </si>
  <si>
    <t>45-59</t>
  </si>
  <si>
    <t>30-44</t>
  </si>
  <si>
    <t>15-29</t>
  </si>
  <si>
    <t>&lt;15</t>
  </si>
  <si>
    <t>A1</t>
  </si>
  <si>
    <t>&lt;3</t>
  </si>
  <si>
    <t>A2</t>
  </si>
  <si>
    <t>A3</t>
  </si>
  <si>
    <t>&gt;30</t>
  </si>
  <si>
    <t>3-30</t>
  </si>
  <si>
    <t>თირკმლების ქრონიკული დაავადება და შაქრიანი დიაბეტი (KDIGO სტრატიფიკაცია)</t>
  </si>
  <si>
    <t>თირკმელჩანაცვლებითი თერაპიის საჭიროების რისკის კატეგორია</t>
  </si>
  <si>
    <t>სტადია</t>
  </si>
  <si>
    <t>უფრო ზუსტი *8.84</t>
  </si>
  <si>
    <t>ზომიერად გაზრდილი რისკი (x5)</t>
  </si>
  <si>
    <t>მაღალი რისკი (x20)</t>
  </si>
  <si>
    <t>ძალიან მაღალი რისკი (x150)</t>
  </si>
  <si>
    <t xml:space="preserve">კაცი </t>
  </si>
  <si>
    <t>კრეატინინი</t>
  </si>
  <si>
    <t>მკმოლ/ლ</t>
  </si>
  <si>
    <t>კონვერსია</t>
  </si>
  <si>
    <t>GFR = 175 × Serum Cr-1.154× age-0.203 × 0.742 (if female)</t>
  </si>
  <si>
    <t xml:space="preserve">სტადია: </t>
  </si>
  <si>
    <t>ნორმა ან მაღალი გლომერულოფილტრაციის სიჩქარე</t>
  </si>
  <si>
    <t>მსუბუქად დაქვეითებული გლომერულოფილტრაციის სიჩქარე</t>
  </si>
  <si>
    <t>გლომერულოფილტრაციის სიჩქარის მსუბუქიდან ზომიერამდე დაქვეითება</t>
  </si>
  <si>
    <t>გლომერულოფილტრაციის სიჩქარის ზომიერიდან მძიმე დაქვეითება</t>
  </si>
  <si>
    <t>გლომერულოფილტრაციის სიჩქარის მძიმე დაქვეითება</t>
  </si>
  <si>
    <t>თირკმლების უკმარისობა</t>
  </si>
  <si>
    <t>რეკომენდაციები პაციენტებისთვის თირკმლების ქრონიკული დაავადებით და შაქრიანი დიაბეტით</t>
  </si>
  <si>
    <t>რეკომენდებულია ინტენსიური LDL-C დამაქვეითებელი თერაპია სტატინით ან სტატინის და ეზეტიმიბის კომბინაციით</t>
  </si>
  <si>
    <t xml:space="preserve">კარდიოვასკულური დაავადების და ალბუმინურიის რისკის შემცირების მიზნით რეკომენდებულია სისხლის შემდეგი სამიზნე წნევა ≤130/80 mmHg </t>
  </si>
  <si>
    <t>HbA1c-ს რეკომენდებული პერსონალიზებული სამიზნე დიაპაზონი არის 6.5–8.0% (48–64 მმოლ/მოლ), ხოლო მიკროვასკულური გართულებების რედუქციის მიზნით რეკომენდებული სამიზნე &lt;7.0% (&lt;53 მმოლ/ლ)</t>
  </si>
  <si>
    <t>რეკომენდებულია აგფ ინჰიბიტორის ან არ ბლოკერის გამოყენება მაქსიმალური ასატანი დოზით</t>
  </si>
  <si>
    <t>პაციენტებში ტიპი 2 შაქრიანი დიაბეტით, თირკმლების ქრონიკული დაავადებით და eGFR ≥20 მლ/წთ/1.73 მ2-ით, კარდიოვასკულური დაავადების და თირკმლების უკმარისობის რისკის რედუქციის მიზნით, რეკომენდებულია SGLT-2 ინჰიბიტორი (კანაგლიფლოზინი, ემპაგლიფლოზინი ან დაპაგლიფლოზინი). სოტაგლიფლოზინს არ გააჩნია თირკმლის უკმარისობის რისკის რედუქციის ეფექტი</t>
  </si>
  <si>
    <t>პაციენტებში ტიპი 2 შაქრიანი დიაბეტით, eGFR &gt;60 მლ/წთ/1.73 მ2-ით და შარდის ალბუმინის კრეატინინთან ≥30 მგ/მმოლ (≥300 მგ/გ)  შეფარდებით ან eGFR &gt;25-60 მლ/წთ/1.73 მ2-ით და შარდის ალბუმინის კრეატინინთან ≥3 მგ/მმოლ (≥30 მგ/გ)  შეფარდებით, რეკომენდებულია ფინერენონის დამატება აგფ ინჰიბიტორზე ან არ ბლოკერზე, კარდიოვასკულური გართულებების და თირკმლების უკმარისობის რისკის რედუქციის მიზნით</t>
  </si>
  <si>
    <t>eGFR &gt;15 მლ/წთ/1.73 მ2-ის შემთხვევაში, ადეკვატური გლიკემიური კონტროლის, ჰიპოგლიკემიის დაბალი რისკის და წონაზე, კარდიოვასკულურ რისკზე და ალბუმინურიაზე დადებით ეფექტების გამო, რეკომენდებულია GLP-1 რეცეპტორის ანტაგონისტი</t>
  </si>
  <si>
    <t>პაციენტებში თირკმლების ქრონიკული დაავადებით და ათეროსკლეროზული კარდიოვასკულური რისკით, რეკომენდებულია დაბალი დოზით (75-100 მგ/დღ) ასპირინი</t>
  </si>
  <si>
    <t>დიაბეტით დაავადებულ პაციენტებში რეკომენდებულია eGFR-ის რუტინული სკრინინგი CKD-EPI-სა და შარდის ალბუმინის და კრეატინინის შეფარდების მეშვეობით</t>
  </si>
  <si>
    <t>არ არის რეკომენდებული აგფ ინჰიბიტორის და არ ბლოკერის ერთდეოული გამოყენება</t>
  </si>
  <si>
    <t>CKD-EPI Creatinine eGFR</t>
  </si>
  <si>
    <t>MDRD eGFR კალკულატორი და CKD-EPI Creatinine eGFR</t>
  </si>
  <si>
    <t>142*(Scr/A)^B*0.9938^age*(1.012 if female)</t>
  </si>
  <si>
    <t>Scr ≤0.7</t>
  </si>
  <si>
    <t>A=0.7</t>
  </si>
  <si>
    <t>B=-0,241</t>
  </si>
  <si>
    <t>Scr &gt;0.7</t>
  </si>
  <si>
    <t>B=-1,2</t>
  </si>
  <si>
    <t>Scr ≤0.9</t>
  </si>
  <si>
    <t>A=0,9</t>
  </si>
  <si>
    <t>Scr &gt;0.9</t>
  </si>
  <si>
    <t>B=-0.302</t>
  </si>
  <si>
    <t>MDRD eGFR</t>
  </si>
  <si>
    <t>ქვედა კიდურების არტერიების/აორტის დაავადება და შაქრიანი დიაბეტი</t>
  </si>
  <si>
    <t>ქვედა კიდურების არტერიების დაავადების სიმპტომები</t>
  </si>
  <si>
    <t>* კლინიკური კვლევა</t>
  </si>
  <si>
    <t>* წვივ-მხრის ინდექსი (ABI)</t>
  </si>
  <si>
    <t>* ჟანგბადის ტრანსკუტანეური წნევა (TcPO2)</t>
  </si>
  <si>
    <t>* დუპლექსსონოგრაფია</t>
  </si>
  <si>
    <t>* WIfi (ჭრილობა, იშემია, ფეხის ინფექცია) ქულა</t>
  </si>
  <si>
    <t>* ტრედმილის ტესტი</t>
  </si>
  <si>
    <t>შესაძლებელია თუ არა ჭრილობის მართვა რევასკულარიზაციის გარეშე?</t>
  </si>
  <si>
    <t>რეგულარული სკრინინგი და მეთვალყურეობა</t>
  </si>
  <si>
    <t>რევასკულარიზაცია</t>
  </si>
  <si>
    <t>დასტურდება თუ არა ქვედა კიდურების არტერიების დაავადება?</t>
  </si>
  <si>
    <t>ეძებეთ სხვა მიზეზ(ებ)ი</t>
  </si>
  <si>
    <t>რეგულარული სკრინინგი</t>
  </si>
  <si>
    <t>სპეციალური ვარჯიშები</t>
  </si>
  <si>
    <t>რჩება თუ არა ყოველდღიური აქტივობების შეზღუდვა?</t>
  </si>
  <si>
    <t>მაგნიტურ-რეზონანსული (MRA) ან კომპიუტერულ-ტომოგრაფიული ანგიოგრაფია (CTA)</t>
  </si>
  <si>
    <t>MRA ან CTA</t>
  </si>
  <si>
    <t>რევასკულარიზაცია და შემდგომი რეგულარული სკრინინგი</t>
  </si>
  <si>
    <t>კლინიკური კვლევა და წვივ-მხრის ინდექსი</t>
  </si>
  <si>
    <t>წვივ-მხრის ინდექსი: ≤0.9 ან &gt;1.4</t>
  </si>
  <si>
    <t>←</t>
  </si>
  <si>
    <t>* გოჯ-მხრის ინდექსი (TBI)</t>
  </si>
  <si>
    <t>რეგუალრული სკირინინგი</t>
  </si>
  <si>
    <t>და მეთვალყურეობა</t>
  </si>
  <si>
    <t>რეკომენდაციები პერიფერიული არტერიების/აორტის დაავადების და დიაბეტის თაობაზე</t>
  </si>
  <si>
    <t>ქვედა კიდურების არტერიების დაავადება</t>
  </si>
  <si>
    <t>პაციენტებში შაქრიანი დიაბეტით და ქვედა კიდურების არტერიების სიმპტომური დაავადებით, რეკომენდებულია ანტიაგრეგაციული თერაპია</t>
  </si>
  <si>
    <t>პაციენტებში დიაბეტთ და ქვედა კიდურების ქრონიკული იშემიით, რეკომენდებულია ამპუტაციის რისკის შეფასება WIfi (ჭრილობა, იშემია, ინფექცია) ქულის მეშვეობით</t>
  </si>
  <si>
    <t>ყველა პაციენტი დიაბეტით და ქვედა კიდურების არტერიების დაავადებით, იმყოფება ძალიან მაღალი კარდიოვასკულური რისკის ქვეშ და მათთან რეკომენდებულია LDL-C-ის სამიზნე მაჩვენებელი &lt;1.4 მმოლ/ლ (&lt;55 მგ/დლ) და LDL-C-ის შემცირება, სულ მცირე, 50%-ით</t>
  </si>
  <si>
    <t>რეკომენდებულია ქვედა კიდურების არტერიების დაავადების რეგულარული სკირნინგი ფიზიკური გასინჯვის და წვივ-მხრის ინდექსის მეშვეობით</t>
  </si>
  <si>
    <t>≤0.90 წვივ-მხრის ინდექსი ქვედა კიდურების არტერიების დაავადების სადიაგნოსტიკო კრიტერიუმია, მიუხედავად კლინიკური სიმპტომების არსებობისა. დიაგნოზის დადგენის შემთხვევაში რეკომენდებულია შემდგომი კვლევები, დუპლექსსონოგრაფიის ჩათვლით</t>
  </si>
  <si>
    <t>&gt;1.4 წვივ-მხრის ინდექსის შემთხვევაში, რეკომენდებულია სხვა არაინვაზიური გამოკვლევები, გოჯ-მხრის ინდექსის და დუპლექსსონოგრაფიის ჩათვლით</t>
  </si>
  <si>
    <t>დუპლექსსონოგრაფიია რეკომენდებულია როგორც პირველი რიგის გამომსახველობითი მოდალობა, ქვედა კიდურების არტერიების ანატომიის და ფუნქციის შეფასების მიზნით</t>
  </si>
  <si>
    <t>ქვედა კიდურების ქრონიკული იშემიის შემთხვევაში, კიდურის გადარჩენის მიზნით, რეკომენდებულია რევასკულარიზაცია</t>
  </si>
  <si>
    <t>პაციენტებში ქვედა კიდურების არტერიების ქრონიკული, სიმპტომური დაავადებით, დაბალი სისხლდენის რისკის შემთხვევაში, განხილულ უნდა იქნას დაბალი დოზით რივაროქსაბანის (2.5 მგ დღში ორჯერ) და ასპირინის (100 მგ/დღ) კომბინაცია</t>
  </si>
  <si>
    <t>კაროტიდული არტერიების დაავადება/აორტის ანევრიზმა</t>
  </si>
  <si>
    <t>დიაბეტით დაავადებულ პაციენტებში კაროტიდული არტერიების დაავადების ან აორტის ანევრიზმის მართვის რეკომენდაციები იგივეა, რაც დიაბეტის გარეშე შემთხვევაში</t>
  </si>
  <si>
    <t>ტიპი 1 შაქრიანი დიაბეტი</t>
  </si>
  <si>
    <t>&gt;40 წლის ტიპი 1 შაქრიანი დიაბეტით დაავადებულ პაციენტებში, კარდიოვასკულური დაავადების ანამნეზის გარეშე, განხილულ უნდა იქნას LDL-C-ის დამაქვეითებელი თერაპია სტატინის მეშვეობით, კარდიოვასკულური რისკის შემცირების მიზნით</t>
  </si>
  <si>
    <t>სტატინებით თერაპია განხილულ უნდა იქნას &lt;40 წლის ტიპი 1 შაქრიანი დიაბეტით დაავადებულ პაციენტებში, კარდიოვასკულური დაავადების სხვა რისკის ან სამიზნე ორგანოების მიკროვასკულური დაზიანების, ან  ≥10%  კარდიოვასკულური დაავადების 10-წლიანი რისკის არსებობის შემთხვევაში</t>
  </si>
  <si>
    <t>ტიპი1 შაქრიანი დიაბეტით დაავადებულ პაციენტებში, კარდიოვასკულური დაავადების 10-წლიანი რისკის შეფასების მიზნით, შეიძლება გამოყენებულ იქნას რისკის პრედიქციის შოტლანდიურ/შვედური მოდელი (https://diabepi.shinyapps.io/cvdrisk/)</t>
  </si>
  <si>
    <t>იხილეთ შოტლანდიურ/შვედური მოდელი: https://diabepi.shinyapps.io/cvdrisk/</t>
  </si>
  <si>
    <t>SGLT2i</t>
  </si>
  <si>
    <t xml:space="preserve">    SCORE2-Diabetes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</si>
</sst>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charset val="1"/>
      <scheme val="minor"/>
    </font>
    <font>
      <sz val="11"/>
      <color theme="1"/>
      <name val="Calibri"/>
      <family val="2"/>
      <charset val="204"/>
      <scheme val="minor"/>
    </font>
    <font>
      <sz val="11"/>
      <color theme="0"/>
      <name val="Calibri"/>
      <family val="2"/>
      <charset val="1"/>
      <scheme val="minor"/>
    </font>
    <font>
      <b/>
      <sz val="18"/>
      <color theme="1"/>
      <name val="Calibri"/>
      <family val="2"/>
    </font>
    <font>
      <sz val="11"/>
      <color theme="1"/>
      <name val="Calibri"/>
      <family val="2"/>
    </font>
    <font>
      <b/>
      <sz val="11"/>
      <color theme="1"/>
      <name val="Calibri"/>
      <family val="2"/>
    </font>
    <font>
      <b/>
      <sz val="12"/>
      <color theme="1"/>
      <name val="Calibri"/>
      <family val="2"/>
    </font>
    <font>
      <b/>
      <sz val="14"/>
      <color theme="1"/>
      <name val="Calibri"/>
      <family val="2"/>
    </font>
    <font>
      <u/>
      <sz val="11"/>
      <color theme="10"/>
      <name val="Calibri"/>
      <family val="2"/>
      <charset val="1"/>
      <scheme val="minor"/>
    </font>
    <font>
      <b/>
      <sz val="14"/>
      <name val="Calibri"/>
      <family val="2"/>
    </font>
    <font>
      <sz val="11"/>
      <color theme="0"/>
      <name val="Calibri"/>
      <family val="2"/>
    </font>
    <font>
      <b/>
      <sz val="16"/>
      <color theme="1"/>
      <name val="Calibri"/>
      <family val="2"/>
    </font>
    <font>
      <b/>
      <sz val="10"/>
      <color theme="1"/>
      <name val="Calibri"/>
      <family val="2"/>
    </font>
    <font>
      <sz val="10"/>
      <color theme="1"/>
      <name val="Calibri"/>
      <family val="2"/>
    </font>
    <font>
      <sz val="10"/>
      <color theme="0"/>
      <name val="Calibri"/>
      <family val="2"/>
    </font>
    <font>
      <sz val="14"/>
      <color theme="1"/>
      <name val="Calibri"/>
      <family val="2"/>
    </font>
    <font>
      <sz val="10"/>
      <color theme="9" tint="-0.249977111117893"/>
      <name val="Calibri"/>
      <family val="2"/>
    </font>
    <font>
      <sz val="10"/>
      <name val="Calibri"/>
      <family val="2"/>
    </font>
    <font>
      <b/>
      <sz val="11"/>
      <color theme="1"/>
      <name val="Calibri"/>
      <family val="2"/>
      <scheme val="minor"/>
    </font>
    <font>
      <sz val="11"/>
      <name val="Calibri"/>
      <family val="2"/>
    </font>
    <font>
      <sz val="10"/>
      <color theme="1"/>
      <name val="Calibri"/>
      <family val="2"/>
      <scheme val="minor"/>
    </font>
    <font>
      <sz val="10"/>
      <color rgb="FF000000"/>
      <name val="Calibri"/>
      <family val="2"/>
    </font>
    <font>
      <b/>
      <sz val="11"/>
      <name val="Calibri"/>
      <family val="2"/>
    </font>
    <font>
      <i/>
      <sz val="9"/>
      <color theme="1"/>
      <name val="Calibri"/>
      <family val="2"/>
    </font>
    <font>
      <i/>
      <sz val="9"/>
      <color theme="4"/>
      <name val="Calibri"/>
      <family val="2"/>
    </font>
    <font>
      <vertAlign val="superscript"/>
      <sz val="11"/>
      <color theme="1"/>
      <name val="Calibri"/>
      <family val="2"/>
    </font>
    <font>
      <vertAlign val="subscript"/>
      <sz val="10"/>
      <color theme="1"/>
      <name val="Calibri"/>
      <family val="2"/>
    </font>
    <font>
      <b/>
      <sz val="11"/>
      <color theme="0"/>
      <name val="Calibri"/>
      <family val="2"/>
    </font>
    <font>
      <i/>
      <sz val="8"/>
      <color theme="4" tint="-0.249977111117893"/>
      <name val="Calibri"/>
      <family val="2"/>
    </font>
    <font>
      <i/>
      <u/>
      <sz val="10"/>
      <color theme="10"/>
      <name val="Calibri"/>
      <family val="1"/>
      <scheme val="minor"/>
    </font>
    <font>
      <sz val="12"/>
      <color theme="1"/>
      <name val="Calibri"/>
      <family val="2"/>
    </font>
    <font>
      <sz val="11"/>
      <color theme="0"/>
      <name val="Wingdings"/>
      <charset val="2"/>
    </font>
    <font>
      <b/>
      <sz val="16"/>
      <color rgb="FFB07BC4"/>
      <name val="Wingdings"/>
      <charset val="2"/>
    </font>
    <font>
      <sz val="11"/>
      <color rgb="FF909CD6"/>
      <name val="Calibri"/>
      <family val="2"/>
    </font>
    <font>
      <b/>
      <sz val="16"/>
      <color rgb="FF909CD6"/>
      <name val="Wingdings"/>
      <charset val="2"/>
    </font>
    <font>
      <sz val="11"/>
      <color theme="0"/>
      <name val="Calibri"/>
      <family val="2"/>
      <charset val="1"/>
    </font>
    <font>
      <b/>
      <sz val="20"/>
      <color theme="1"/>
      <name val="Calibri"/>
      <family val="2"/>
    </font>
    <font>
      <sz val="20"/>
      <color theme="0" tint="-0.499984740745262"/>
      <name val="Wingdings"/>
      <charset val="2"/>
    </font>
    <font>
      <sz val="11"/>
      <color theme="0"/>
      <name val="Sylfaen"/>
      <family val="1"/>
    </font>
    <font>
      <sz val="10"/>
      <name val="Calibri"/>
      <family val="1"/>
      <scheme val="minor"/>
    </font>
    <font>
      <sz val="10"/>
      <name val="Calibri"/>
      <family val="2"/>
      <charset val="1"/>
      <scheme val="minor"/>
    </font>
    <font>
      <b/>
      <sz val="14"/>
      <name val="Calibri"/>
      <family val="1"/>
      <scheme val="minor"/>
    </font>
    <font>
      <b/>
      <sz val="11"/>
      <color theme="1"/>
      <name val="Calibri"/>
      <family val="2"/>
      <charset val="204"/>
      <scheme val="minor"/>
    </font>
    <font>
      <i/>
      <u/>
      <sz val="10"/>
      <color theme="10"/>
      <name val="Calibri"/>
      <family val="2"/>
      <charset val="204"/>
      <scheme val="minor"/>
    </font>
    <font>
      <b/>
      <vertAlign val="subscript"/>
      <sz val="11"/>
      <color theme="1"/>
      <name val="Calibri"/>
      <family val="2"/>
      <charset val="204"/>
      <scheme val="minor"/>
    </font>
    <font>
      <b/>
      <sz val="14"/>
      <name val="Calibri"/>
      <family val="2"/>
      <charset val="204"/>
      <scheme val="minor"/>
    </font>
    <font>
      <b/>
      <sz val="10"/>
      <color theme="1"/>
      <name val="Calibri"/>
      <family val="2"/>
      <charset val="204"/>
    </font>
    <font>
      <sz val="10"/>
      <color theme="1"/>
      <name val="Calibri"/>
      <family val="2"/>
      <charset val="1"/>
      <scheme val="minor"/>
    </font>
    <font>
      <i/>
      <sz val="10"/>
      <color theme="4" tint="-0.249977111117893"/>
      <name val="Calibri"/>
      <family val="2"/>
    </font>
    <font>
      <sz val="8"/>
      <color rgb="FF000000"/>
      <name val="Sylfaen"/>
      <family val="1"/>
      <charset val="204"/>
    </font>
    <font>
      <b/>
      <sz val="11"/>
      <color theme="1"/>
      <name val="Calibri"/>
      <family val="2"/>
      <charset val="204"/>
    </font>
    <font>
      <b/>
      <sz val="14"/>
      <color theme="0"/>
      <name val="Calibri"/>
      <family val="2"/>
    </font>
    <font>
      <sz val="11"/>
      <color theme="0"/>
      <name val="Calibri"/>
      <family val="2"/>
      <scheme val="minor"/>
    </font>
    <font>
      <sz val="8"/>
      <color rgb="FF000000"/>
      <name val="Segoe UI"/>
      <family val="2"/>
      <charset val="204"/>
    </font>
    <font>
      <b/>
      <sz val="16"/>
      <name val="Calibri"/>
      <family val="2"/>
      <charset val="204"/>
      <scheme val="minor"/>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25">
    <border>
      <left/>
      <right/>
      <top/>
      <bottom/>
      <diagonal/>
    </border>
    <border>
      <left/>
      <right/>
      <top/>
      <bottom style="thin">
        <color auto="1"/>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03">
    <xf numFmtId="0" fontId="0" fillId="0" borderId="0" xfId="0"/>
    <xf numFmtId="0" fontId="0" fillId="2" borderId="0" xfId="0" applyFill="1"/>
    <xf numFmtId="0" fontId="4" fillId="2" borderId="0" xfId="0" applyFont="1" applyFill="1"/>
    <xf numFmtId="0" fontId="4" fillId="2" borderId="0" xfId="0" applyFont="1" applyFill="1" applyAlignment="1">
      <alignment horizontal="left" vertical="center"/>
    </xf>
    <xf numFmtId="0" fontId="4" fillId="2" borderId="0" xfId="0" applyFont="1" applyFill="1" applyProtection="1">
      <protection locked="0"/>
    </xf>
    <xf numFmtId="0" fontId="10" fillId="2" borderId="0" xfId="0" applyFont="1" applyFill="1"/>
    <xf numFmtId="0" fontId="3" fillId="2" borderId="0" xfId="0" applyFont="1" applyFill="1" applyAlignment="1">
      <alignment vertical="center" wrapText="1"/>
    </xf>
    <xf numFmtId="0" fontId="13" fillId="2" borderId="0" xfId="0" applyFont="1" applyFill="1" applyAlignment="1">
      <alignment vertical="center"/>
    </xf>
    <xf numFmtId="0" fontId="13" fillId="2" borderId="0" xfId="0" applyFont="1" applyFill="1"/>
    <xf numFmtId="0" fontId="13" fillId="2" borderId="0" xfId="0" applyFont="1" applyFill="1" applyAlignment="1">
      <alignment vertical="center" wrapText="1"/>
    </xf>
    <xf numFmtId="0" fontId="4"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right" vertical="center"/>
    </xf>
    <xf numFmtId="0" fontId="10" fillId="2" borderId="0" xfId="0" applyFont="1" applyFill="1" applyProtection="1">
      <protection locked="0"/>
    </xf>
    <xf numFmtId="0" fontId="18"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164" fontId="0" fillId="0" borderId="5" xfId="0" applyNumberFormat="1" applyBorder="1" applyAlignment="1">
      <alignment horizontal="center" vertical="center"/>
    </xf>
    <xf numFmtId="164" fontId="19" fillId="0" borderId="0" xfId="0" applyNumberFormat="1" applyFont="1" applyAlignment="1">
      <alignment horizontal="center" vertical="center"/>
    </xf>
    <xf numFmtId="164" fontId="0" fillId="0" borderId="0" xfId="0" applyNumberFormat="1" applyAlignment="1">
      <alignment horizontal="center" vertical="center"/>
    </xf>
    <xf numFmtId="0" fontId="20" fillId="0" borderId="0" xfId="0" applyFont="1" applyAlignment="1">
      <alignment wrapText="1"/>
    </xf>
    <xf numFmtId="0" fontId="20" fillId="0" borderId="0" xfId="0" applyFont="1" applyAlignment="1">
      <alignment horizontal="center" vertical="center" wrapText="1"/>
    </xf>
    <xf numFmtId="0" fontId="20" fillId="0" borderId="0" xfId="0" applyFont="1"/>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21" fillId="0" borderId="0" xfId="0" applyFont="1" applyAlignment="1">
      <alignment horizontal="center" vertical="center" wrapText="1"/>
    </xf>
    <xf numFmtId="0" fontId="4" fillId="4" borderId="13" xfId="0" applyFont="1" applyFill="1" applyBorder="1"/>
    <xf numFmtId="0" fontId="4" fillId="4" borderId="6" xfId="0" applyFont="1" applyFill="1" applyBorder="1" applyAlignment="1">
      <alignment horizontal="center" vertical="center"/>
    </xf>
    <xf numFmtId="0" fontId="13" fillId="4" borderId="13" xfId="0" applyFont="1" applyFill="1" applyBorder="1"/>
    <xf numFmtId="0" fontId="12" fillId="4" borderId="12" xfId="0" applyFont="1" applyFill="1" applyBorder="1"/>
    <xf numFmtId="0" fontId="23" fillId="2" borderId="0" xfId="0" applyFont="1" applyFill="1"/>
    <xf numFmtId="0" fontId="24" fillId="2" borderId="0" xfId="0" applyFont="1" applyFill="1"/>
    <xf numFmtId="0" fontId="4" fillId="7" borderId="1" xfId="0" applyFont="1" applyFill="1" applyBorder="1" applyAlignment="1" applyProtection="1">
      <alignment horizontal="center" vertical="center"/>
      <protection locked="0"/>
    </xf>
    <xf numFmtId="164" fontId="6" fillId="2" borderId="14" xfId="0" applyNumberFormat="1" applyFont="1" applyFill="1" applyBorder="1" applyAlignment="1">
      <alignment horizontal="center" vertical="center"/>
    </xf>
    <xf numFmtId="0" fontId="5" fillId="2" borderId="0" xfId="0" applyFont="1" applyFill="1" applyAlignment="1">
      <alignment horizontal="left" vertical="center"/>
    </xf>
    <xf numFmtId="0" fontId="2" fillId="2" borderId="0" xfId="0" applyFont="1" applyFill="1"/>
    <xf numFmtId="0" fontId="4" fillId="2" borderId="0" xfId="0" applyFont="1" applyFill="1" applyAlignment="1">
      <alignment horizontal="center" vertical="center"/>
    </xf>
    <xf numFmtId="0" fontId="4" fillId="12" borderId="1" xfId="0" applyFont="1" applyFill="1" applyBorder="1" applyAlignment="1">
      <alignment horizontal="center" vertical="center"/>
    </xf>
    <xf numFmtId="0" fontId="4" fillId="12" borderId="1" xfId="0" applyFont="1" applyFill="1" applyBorder="1" applyAlignment="1" applyProtection="1">
      <alignment horizontal="center" vertical="center"/>
      <protection locked="0"/>
    </xf>
    <xf numFmtId="0" fontId="5" fillId="2" borderId="0" xfId="0" applyFont="1" applyFill="1"/>
    <xf numFmtId="0" fontId="28" fillId="2" borderId="0" xfId="0" applyFont="1" applyFill="1"/>
    <xf numFmtId="0" fontId="6" fillId="2" borderId="0" xfId="0" applyFont="1" applyFill="1"/>
    <xf numFmtId="0" fontId="4" fillId="2" borderId="0" xfId="0" applyFont="1" applyFill="1" applyAlignment="1">
      <alignment vertical="center" wrapText="1"/>
    </xf>
    <xf numFmtId="164" fontId="5" fillId="2" borderId="14" xfId="0" applyNumberFormat="1" applyFont="1" applyFill="1" applyBorder="1" applyAlignment="1">
      <alignment horizontal="center" vertical="center"/>
    </xf>
    <xf numFmtId="0" fontId="30" fillId="2" borderId="0" xfId="0" applyFont="1" applyFill="1" applyAlignment="1">
      <alignment horizontal="center" vertical="center"/>
    </xf>
    <xf numFmtId="0" fontId="31" fillId="2" borderId="0" xfId="0" applyFont="1" applyFill="1"/>
    <xf numFmtId="0" fontId="33" fillId="2" borderId="0" xfId="0" applyFont="1" applyFill="1" applyAlignment="1">
      <alignment vertical="center"/>
    </xf>
    <xf numFmtId="0" fontId="35" fillId="2" borderId="0" xfId="0" applyFont="1" applyFill="1"/>
    <xf numFmtId="0" fontId="35" fillId="2" borderId="0" xfId="0" applyFont="1" applyFill="1" applyProtection="1">
      <protection locked="0"/>
    </xf>
    <xf numFmtId="0" fontId="4" fillId="6" borderId="1" xfId="0" applyFont="1" applyFill="1" applyBorder="1" applyAlignment="1" applyProtection="1">
      <alignment horizontal="center" vertical="center"/>
      <protection locked="0"/>
    </xf>
    <xf numFmtId="0" fontId="6" fillId="2" borderId="1" xfId="0" applyFont="1" applyFill="1" applyBorder="1" applyAlignment="1">
      <alignment horizontal="center" vertical="center"/>
    </xf>
    <xf numFmtId="0" fontId="16" fillId="2" borderId="0" xfId="0" applyFont="1" applyFill="1" applyAlignment="1">
      <alignment horizontal="center" vertical="center"/>
    </xf>
    <xf numFmtId="0" fontId="4" fillId="0" borderId="0" xfId="0" applyFont="1"/>
    <xf numFmtId="0" fontId="5" fillId="2" borderId="0" xfId="0" applyFont="1" applyFill="1" applyAlignment="1">
      <alignment horizontal="center" vertical="center"/>
    </xf>
    <xf numFmtId="0" fontId="4" fillId="3" borderId="6" xfId="0" applyFont="1" applyFill="1" applyBorder="1" applyAlignment="1">
      <alignment horizontal="center" vertical="center"/>
    </xf>
    <xf numFmtId="0" fontId="4" fillId="2" borderId="0" xfId="0" applyFont="1" applyFill="1" applyAlignment="1">
      <alignment vertical="center"/>
    </xf>
    <xf numFmtId="0" fontId="6" fillId="2" borderId="0" xfId="0" applyFont="1" applyFill="1" applyAlignment="1">
      <alignment vertical="center"/>
    </xf>
    <xf numFmtId="0" fontId="42" fillId="2" borderId="0" xfId="0" applyFont="1" applyFill="1"/>
    <xf numFmtId="0" fontId="42" fillId="7" borderId="1" xfId="0" applyFont="1" applyFill="1" applyBorder="1" applyAlignment="1">
      <alignment horizontal="center" vertical="center"/>
    </xf>
    <xf numFmtId="0" fontId="0" fillId="7" borderId="1" xfId="0" applyFill="1" applyBorder="1" applyAlignment="1" applyProtection="1">
      <alignment horizontal="center" vertical="center"/>
      <protection locked="0"/>
    </xf>
    <xf numFmtId="0" fontId="2" fillId="2" borderId="0" xfId="0" applyFont="1" applyFill="1" applyProtection="1">
      <protection locked="0"/>
    </xf>
    <xf numFmtId="0" fontId="46" fillId="4" borderId="12" xfId="0" applyFont="1" applyFill="1" applyBorder="1"/>
    <xf numFmtId="0" fontId="46" fillId="4" borderId="13" xfId="0" applyFont="1" applyFill="1" applyBorder="1"/>
    <xf numFmtId="0" fontId="46" fillId="4" borderId="15" xfId="0" applyFont="1" applyFill="1" applyBorder="1"/>
    <xf numFmtId="0" fontId="5" fillId="2" borderId="0" xfId="0" applyFont="1" applyFill="1" applyAlignment="1">
      <alignment vertical="center"/>
    </xf>
    <xf numFmtId="0" fontId="48" fillId="2" borderId="0" xfId="0" applyFont="1" applyFill="1"/>
    <xf numFmtId="0" fontId="5" fillId="3" borderId="1" xfId="0" applyFont="1" applyFill="1" applyBorder="1" applyAlignment="1">
      <alignment horizontal="center" vertical="center"/>
    </xf>
    <xf numFmtId="0" fontId="4" fillId="15" borderId="1" xfId="0"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4" fillId="3" borderId="1" xfId="0" applyNumberFormat="1" applyFont="1" applyFill="1" applyBorder="1" applyAlignment="1" applyProtection="1">
      <alignment horizontal="center" vertical="center"/>
    </xf>
    <xf numFmtId="164" fontId="50" fillId="2" borderId="24" xfId="0" applyNumberFormat="1" applyFont="1" applyFill="1" applyBorder="1" applyAlignment="1">
      <alignment horizontal="center" vertical="center"/>
    </xf>
    <xf numFmtId="0" fontId="4" fillId="2" borderId="24" xfId="0" applyFont="1" applyFill="1" applyBorder="1"/>
    <xf numFmtId="0" fontId="4" fillId="2" borderId="5" xfId="0" applyFont="1" applyFill="1" applyBorder="1"/>
    <xf numFmtId="0" fontId="51" fillId="2" borderId="0" xfId="1" applyFont="1" applyFill="1" applyAlignment="1">
      <alignment vertical="center"/>
    </xf>
    <xf numFmtId="49" fontId="10" fillId="2" borderId="0" xfId="0" applyNumberFormat="1" applyFont="1" applyFill="1"/>
    <xf numFmtId="0" fontId="0" fillId="2" borderId="0" xfId="0" applyFont="1" applyFill="1"/>
    <xf numFmtId="0" fontId="0" fillId="2" borderId="0" xfId="0" applyFont="1" applyFill="1" applyAlignment="1">
      <alignment horizontal="center"/>
    </xf>
    <xf numFmtId="0" fontId="0" fillId="2" borderId="0" xfId="0" applyFont="1" applyFill="1" applyAlignment="1">
      <alignment horizontal="center" vertical="center"/>
    </xf>
    <xf numFmtId="0" fontId="0" fillId="2" borderId="0" xfId="0" applyFont="1" applyFill="1" applyAlignment="1">
      <alignment vertical="center"/>
    </xf>
    <xf numFmtId="0" fontId="42" fillId="2" borderId="0" xfId="0" applyFont="1" applyFill="1" applyAlignment="1">
      <alignment vertical="center"/>
    </xf>
    <xf numFmtId="0" fontId="52" fillId="2" borderId="0" xfId="0" applyFont="1" applyFill="1"/>
    <xf numFmtId="0" fontId="52" fillId="2" borderId="0" xfId="0" applyFont="1" applyFill="1" applyProtection="1">
      <protection locked="0"/>
    </xf>
    <xf numFmtId="0" fontId="40" fillId="2" borderId="0" xfId="1" applyFont="1" applyFill="1" applyAlignment="1">
      <alignment horizontal="left" vertical="center"/>
    </xf>
    <xf numFmtId="0" fontId="47" fillId="2" borderId="0" xfId="1" applyFont="1" applyFill="1" applyAlignment="1">
      <alignment horizontal="left" vertical="center"/>
    </xf>
    <xf numFmtId="0" fontId="39" fillId="2" borderId="0" xfId="1" applyFont="1" applyFill="1" applyAlignment="1">
      <alignment horizontal="left" vertical="center"/>
    </xf>
    <xf numFmtId="0" fontId="17" fillId="2" borderId="0" xfId="1" applyFont="1" applyFill="1" applyAlignment="1">
      <alignment horizontal="left" vertical="center"/>
    </xf>
    <xf numFmtId="0" fontId="4" fillId="2" borderId="0" xfId="0" applyFont="1" applyFill="1" applyAlignment="1">
      <alignment horizontal="left" vertical="center"/>
    </xf>
    <xf numFmtId="0" fontId="17" fillId="2" borderId="0" xfId="1" applyFont="1" applyFill="1" applyAlignment="1">
      <alignment horizontal="left" vertical="center" wrapText="1"/>
    </xf>
    <xf numFmtId="0" fontId="9" fillId="3" borderId="0" xfId="1"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6" fillId="2" borderId="0" xfId="1" applyFont="1" applyFill="1" applyAlignment="1">
      <alignment horizontal="center" vertical="center"/>
    </xf>
    <xf numFmtId="0" fontId="15" fillId="2" borderId="0" xfId="0" applyFont="1" applyFill="1" applyAlignment="1">
      <alignment horizontal="center" vertical="center"/>
    </xf>
    <xf numFmtId="0" fontId="13" fillId="2" borderId="6" xfId="0" applyFont="1" applyFill="1" applyBorder="1" applyAlignment="1">
      <alignment horizontal="left" vertical="center" wrapText="1"/>
    </xf>
    <xf numFmtId="0" fontId="22" fillId="9" borderId="6" xfId="1" applyFont="1" applyFill="1" applyBorder="1" applyAlignment="1">
      <alignment horizontal="center" vertical="center" wrapText="1"/>
    </xf>
    <xf numFmtId="0" fontId="22" fillId="6" borderId="6" xfId="1" applyFont="1" applyFill="1" applyBorder="1" applyAlignment="1">
      <alignment horizontal="center" vertical="center" wrapText="1"/>
    </xf>
    <xf numFmtId="0" fontId="22" fillId="5" borderId="6" xfId="1" applyFont="1" applyFill="1" applyBorder="1" applyAlignment="1">
      <alignment horizontal="center" vertical="center" wrapText="1"/>
    </xf>
    <xf numFmtId="0" fontId="22" fillId="8" borderId="6" xfId="1" applyFont="1" applyFill="1" applyBorder="1" applyAlignment="1">
      <alignment horizontal="center" vertical="center" wrapText="1"/>
    </xf>
    <xf numFmtId="0" fontId="22" fillId="7" borderId="6" xfId="1" applyFont="1" applyFill="1" applyBorder="1" applyAlignment="1">
      <alignment horizontal="center" vertical="center" wrapText="1"/>
    </xf>
    <xf numFmtId="0" fontId="22" fillId="10" borderId="6" xfId="1" applyFont="1" applyFill="1" applyBorder="1" applyAlignment="1">
      <alignment horizontal="center"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27" fillId="11" borderId="6" xfId="1" applyFont="1" applyFill="1" applyBorder="1" applyAlignment="1">
      <alignment horizontal="center" vertical="center" wrapTex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16" fontId="24" fillId="2" borderId="0" xfId="0" applyNumberFormat="1" applyFont="1" applyFill="1" applyAlignment="1">
      <alignment horizontal="right" vertical="center"/>
    </xf>
    <xf numFmtId="0" fontId="29" fillId="2" borderId="0" xfId="1" applyFont="1" applyFill="1" applyAlignment="1">
      <alignment horizontal="left" vertical="center"/>
    </xf>
    <xf numFmtId="0" fontId="34" fillId="2" borderId="0" xfId="0" applyFont="1" applyFill="1" applyAlignment="1">
      <alignment horizontal="center" vertical="center"/>
    </xf>
    <xf numFmtId="0" fontId="13" fillId="2" borderId="0" xfId="0" applyFont="1" applyFill="1" applyAlignment="1">
      <alignment horizontal="center" vertical="top" wrapText="1"/>
    </xf>
    <xf numFmtId="0" fontId="4" fillId="2" borderId="0" xfId="0" applyFont="1" applyFill="1" applyAlignment="1">
      <alignment horizontal="left" vertical="center" wrapText="1"/>
    </xf>
    <xf numFmtId="0" fontId="32" fillId="2" borderId="0" xfId="0" applyFont="1" applyFill="1" applyAlignment="1">
      <alignment horizontal="center" vertical="center"/>
    </xf>
    <xf numFmtId="0" fontId="5" fillId="2" borderId="0" xfId="0" applyFont="1" applyFill="1" applyAlignment="1">
      <alignment horizontal="center" vertical="center" wrapText="1"/>
    </xf>
    <xf numFmtId="0" fontId="19" fillId="2" borderId="0" xfId="1" applyFont="1" applyFill="1" applyAlignment="1">
      <alignment horizontal="center" vertical="center"/>
    </xf>
    <xf numFmtId="0" fontId="9" fillId="3" borderId="0" xfId="1" applyFont="1" applyFill="1" applyAlignment="1">
      <alignment horizontal="left" vertical="center" wrapText="1"/>
    </xf>
    <xf numFmtId="0" fontId="36" fillId="2" borderId="0" xfId="0" applyFont="1" applyFill="1" applyAlignment="1">
      <alignment horizontal="center" vertical="center"/>
    </xf>
    <xf numFmtId="0" fontId="12" fillId="2" borderId="0" xfId="0" applyFont="1" applyFill="1" applyAlignment="1">
      <alignment horizontal="center" vertical="center" wrapText="1"/>
    </xf>
    <xf numFmtId="0" fontId="30" fillId="2" borderId="0" xfId="0" applyFont="1" applyFill="1" applyAlignment="1">
      <alignment horizontal="center" vertical="center" wrapText="1"/>
    </xf>
    <xf numFmtId="0" fontId="36" fillId="13" borderId="16" xfId="0" applyFont="1" applyFill="1" applyBorder="1" applyAlignment="1">
      <alignment horizontal="center" vertical="center"/>
    </xf>
    <xf numFmtId="0" fontId="36" fillId="13" borderId="17" xfId="0" applyFont="1" applyFill="1" applyBorder="1" applyAlignment="1">
      <alignment horizontal="center" vertical="center"/>
    </xf>
    <xf numFmtId="0" fontId="36" fillId="13" borderId="18" xfId="0" applyFont="1" applyFill="1" applyBorder="1" applyAlignment="1">
      <alignment horizontal="center" vertical="center"/>
    </xf>
    <xf numFmtId="0" fontId="36" fillId="13" borderId="19" xfId="0" applyFont="1" applyFill="1" applyBorder="1" applyAlignment="1">
      <alignment horizontal="center" vertical="center"/>
    </xf>
    <xf numFmtId="0" fontId="36" fillId="13" borderId="0" xfId="0" applyFont="1" applyFill="1" applyAlignment="1">
      <alignment horizontal="center" vertical="center"/>
    </xf>
    <xf numFmtId="0" fontId="36" fillId="13" borderId="20" xfId="0" applyFont="1" applyFill="1" applyBorder="1" applyAlignment="1">
      <alignment horizontal="center" vertical="center"/>
    </xf>
    <xf numFmtId="0" fontId="36" fillId="13" borderId="21" xfId="0" applyFont="1" applyFill="1" applyBorder="1" applyAlignment="1">
      <alignment horizontal="center" vertical="center"/>
    </xf>
    <xf numFmtId="0" fontId="36" fillId="13" borderId="22" xfId="0" applyFont="1" applyFill="1" applyBorder="1" applyAlignment="1">
      <alignment horizontal="center" vertical="center"/>
    </xf>
    <xf numFmtId="0" fontId="36" fillId="13" borderId="23" xfId="0" applyFont="1" applyFill="1" applyBorder="1" applyAlignment="1">
      <alignment horizontal="center" vertical="center"/>
    </xf>
    <xf numFmtId="0" fontId="13" fillId="2" borderId="17" xfId="0" applyFont="1" applyFill="1" applyBorder="1" applyAlignment="1">
      <alignment horizontal="center" vertical="center" wrapText="1"/>
    </xf>
    <xf numFmtId="0" fontId="4" fillId="3" borderId="0" xfId="0" applyFont="1" applyFill="1" applyAlignment="1">
      <alignment horizontal="center" vertical="center"/>
    </xf>
    <xf numFmtId="0" fontId="37" fillId="2" borderId="0" xfId="0" applyFont="1" applyFill="1" applyAlignment="1">
      <alignment horizontal="center" vertical="center"/>
    </xf>
    <xf numFmtId="0" fontId="7" fillId="9" borderId="16" xfId="0" applyFont="1" applyFill="1" applyBorder="1" applyAlignment="1">
      <alignment horizontal="center" vertical="center"/>
    </xf>
    <xf numFmtId="0" fontId="7" fillId="9" borderId="17" xfId="0" applyFont="1" applyFill="1" applyBorder="1" applyAlignment="1">
      <alignment horizontal="center" vertical="center"/>
    </xf>
    <xf numFmtId="0" fontId="7" fillId="9" borderId="18" xfId="0" applyFont="1" applyFill="1" applyBorder="1" applyAlignment="1">
      <alignment horizontal="center" vertical="center"/>
    </xf>
    <xf numFmtId="0" fontId="7" fillId="9" borderId="19" xfId="0" applyFont="1" applyFill="1" applyBorder="1" applyAlignment="1">
      <alignment horizontal="center" vertical="center"/>
    </xf>
    <xf numFmtId="0" fontId="7" fillId="9" borderId="0" xfId="0" applyFont="1" applyFill="1" applyAlignment="1">
      <alignment horizontal="center" vertical="center"/>
    </xf>
    <xf numFmtId="0" fontId="7" fillId="9" borderId="20" xfId="0" applyFont="1" applyFill="1" applyBorder="1" applyAlignment="1">
      <alignment horizontal="center" vertical="center"/>
    </xf>
    <xf numFmtId="0" fontId="7" fillId="9" borderId="21" xfId="0" applyFont="1" applyFill="1" applyBorder="1" applyAlignment="1">
      <alignment horizontal="center" vertical="center"/>
    </xf>
    <xf numFmtId="0" fontId="7" fillId="9" borderId="22" xfId="0" applyFont="1" applyFill="1" applyBorder="1" applyAlignment="1">
      <alignment horizontal="center" vertical="center"/>
    </xf>
    <xf numFmtId="0" fontId="7" fillId="9" borderId="23" xfId="0" applyFont="1" applyFill="1" applyBorder="1" applyAlignment="1">
      <alignment horizontal="center" vertical="center"/>
    </xf>
    <xf numFmtId="0" fontId="7" fillId="14" borderId="16" xfId="0" applyFont="1" applyFill="1" applyBorder="1" applyAlignment="1">
      <alignment horizontal="center" vertical="center"/>
    </xf>
    <xf numFmtId="0" fontId="7" fillId="14" borderId="17" xfId="0" applyFont="1" applyFill="1" applyBorder="1" applyAlignment="1">
      <alignment horizontal="center" vertical="center"/>
    </xf>
    <xf numFmtId="0" fontId="7" fillId="14" borderId="18" xfId="0" applyFont="1" applyFill="1" applyBorder="1" applyAlignment="1">
      <alignment horizontal="center" vertical="center"/>
    </xf>
    <xf numFmtId="0" fontId="7" fillId="14" borderId="19" xfId="0" applyFont="1" applyFill="1" applyBorder="1" applyAlignment="1">
      <alignment horizontal="center" vertical="center"/>
    </xf>
    <xf numFmtId="0" fontId="7" fillId="14" borderId="0" xfId="0" applyFont="1" applyFill="1" applyAlignment="1">
      <alignment horizontal="center" vertical="center"/>
    </xf>
    <xf numFmtId="0" fontId="7" fillId="14" borderId="20" xfId="0" applyFont="1" applyFill="1" applyBorder="1" applyAlignment="1">
      <alignment horizontal="center" vertical="center"/>
    </xf>
    <xf numFmtId="0" fontId="7" fillId="14" borderId="21" xfId="0" applyFont="1" applyFill="1" applyBorder="1" applyAlignment="1">
      <alignment horizontal="center" vertical="center"/>
    </xf>
    <xf numFmtId="0" fontId="7" fillId="14" borderId="22" xfId="0" applyFont="1" applyFill="1" applyBorder="1" applyAlignment="1">
      <alignment horizontal="center" vertical="center"/>
    </xf>
    <xf numFmtId="0" fontId="7" fillId="14" borderId="23" xfId="0" applyFont="1" applyFill="1" applyBorder="1" applyAlignment="1">
      <alignment horizontal="center" vertical="center"/>
    </xf>
    <xf numFmtId="0" fontId="4" fillId="4" borderId="0" xfId="0" applyFont="1" applyFill="1" applyAlignment="1">
      <alignment horizontal="left" vertical="center" wrapText="1"/>
    </xf>
    <xf numFmtId="0" fontId="12" fillId="2" borderId="3" xfId="0" applyFont="1" applyFill="1" applyBorder="1" applyAlignment="1">
      <alignment horizontal="left" vertical="center"/>
    </xf>
    <xf numFmtId="0" fontId="12" fillId="2" borderId="0" xfId="0" applyFont="1" applyFill="1" applyAlignment="1">
      <alignment horizontal="left"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6" xfId="0" applyFont="1" applyFill="1" applyBorder="1" applyAlignment="1">
      <alignment horizontal="center" vertical="center" wrapText="1"/>
    </xf>
    <xf numFmtId="0" fontId="4" fillId="2" borderId="6" xfId="0" applyFont="1" applyFill="1" applyBorder="1" applyAlignment="1" applyProtection="1">
      <alignment horizontal="center" vertical="center"/>
      <protection locked="0"/>
    </xf>
    <xf numFmtId="0" fontId="12" fillId="4" borderId="6" xfId="0" applyFont="1" applyFill="1" applyBorder="1" applyAlignment="1">
      <alignment horizontal="left" vertical="center" wrapText="1"/>
    </xf>
    <xf numFmtId="0" fontId="41" fillId="3" borderId="0" xfId="1" applyFont="1" applyFill="1" applyAlignment="1">
      <alignment horizontal="left" vertical="center" wrapText="1"/>
    </xf>
    <xf numFmtId="0" fontId="43" fillId="2" borderId="0" xfId="1" applyFont="1" applyFill="1" applyAlignment="1">
      <alignment horizontal="center"/>
    </xf>
    <xf numFmtId="0" fontId="6" fillId="2" borderId="0" xfId="0" applyFont="1" applyFill="1" applyAlignment="1">
      <alignment horizontal="left" vertical="center"/>
    </xf>
    <xf numFmtId="0" fontId="43" fillId="2" borderId="0" xfId="1"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horizontal="right" vertical="center"/>
    </xf>
    <xf numFmtId="0" fontId="43" fillId="2" borderId="8" xfId="1" applyFont="1" applyFill="1" applyBorder="1" applyAlignment="1">
      <alignment horizontal="center" vertical="center"/>
    </xf>
    <xf numFmtId="0" fontId="42" fillId="7" borderId="1" xfId="0" applyFont="1" applyFill="1" applyBorder="1" applyAlignment="1">
      <alignment horizontal="center" vertical="center"/>
    </xf>
    <xf numFmtId="0" fontId="45" fillId="3" borderId="0" xfId="1" applyFont="1" applyFill="1" applyAlignment="1">
      <alignment horizontal="left" vertical="center"/>
    </xf>
    <xf numFmtId="0" fontId="0" fillId="2" borderId="0" xfId="0" applyFill="1" applyAlignment="1">
      <alignment horizontal="left" vertical="center" wrapText="1"/>
    </xf>
    <xf numFmtId="0" fontId="42" fillId="2" borderId="0" xfId="0" applyFont="1" applyFill="1" applyAlignment="1">
      <alignment horizontal="right" vertical="center"/>
    </xf>
    <xf numFmtId="0" fontId="7" fillId="3" borderId="0" xfId="1" applyFont="1" applyFill="1" applyAlignment="1">
      <alignment horizontal="left" vertical="center"/>
    </xf>
    <xf numFmtId="0" fontId="5" fillId="0" borderId="1" xfId="0" applyFont="1" applyBorder="1" applyAlignment="1">
      <alignment horizontal="center" vertical="center"/>
    </xf>
    <xf numFmtId="0" fontId="24" fillId="2" borderId="0" xfId="0" applyFont="1" applyFill="1" applyAlignment="1">
      <alignment horizontal="left" vertical="center"/>
    </xf>
    <xf numFmtId="0" fontId="50" fillId="2" borderId="4" xfId="0" applyFont="1" applyFill="1" applyBorder="1" applyAlignment="1">
      <alignment horizontal="center" vertical="center"/>
    </xf>
    <xf numFmtId="0" fontId="50" fillId="2" borderId="24" xfId="0" applyFont="1" applyFill="1" applyBorder="1" applyAlignment="1">
      <alignment horizontal="center" vertical="center"/>
    </xf>
    <xf numFmtId="0" fontId="42" fillId="2" borderId="0" xfId="0" applyFont="1" applyFill="1" applyAlignment="1">
      <alignment horizontal="center" vertical="center" wrapText="1"/>
    </xf>
    <xf numFmtId="0" fontId="0" fillId="2" borderId="0" xfId="0" applyFont="1" applyFill="1" applyAlignment="1">
      <alignment horizontal="center"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0" fontId="42" fillId="2" borderId="0" xfId="0" applyFont="1" applyFill="1" applyAlignment="1">
      <alignment horizontal="center" vertical="center"/>
    </xf>
    <xf numFmtId="0" fontId="1" fillId="2" borderId="0" xfId="0" applyFont="1" applyFill="1" applyAlignment="1">
      <alignment horizontal="center" vertical="center"/>
    </xf>
    <xf numFmtId="0" fontId="43" fillId="2" borderId="0" xfId="1" applyFont="1" applyFill="1" applyAlignment="1">
      <alignment horizontal="left" vertical="center"/>
    </xf>
    <xf numFmtId="0" fontId="20" fillId="0" borderId="0" xfId="0" applyFont="1" applyAlignment="1">
      <alignment wrapText="1"/>
    </xf>
    <xf numFmtId="0" fontId="12" fillId="2" borderId="0" xfId="0" applyFont="1" applyFill="1" applyBorder="1" applyAlignment="1"/>
    <xf numFmtId="0" fontId="52" fillId="0" borderId="0" xfId="0" applyFont="1"/>
    <xf numFmtId="0" fontId="54" fillId="2" borderId="0" xfId="1" applyFont="1" applyFill="1" applyAlignment="1">
      <alignment horizontal="left" vertical="center" wrapText="1"/>
    </xf>
    <xf numFmtId="0" fontId="54" fillId="3" borderId="0" xfId="1" applyFont="1" applyFill="1" applyAlignment="1">
      <alignment horizontal="left" vertical="center"/>
    </xf>
  </cellXfs>
  <cellStyles count="2">
    <cellStyle name="Hyperlink" xfId="1" builtinId="8"/>
    <cellStyle name="Normal" xfId="0" builtinId="0"/>
  </cellStyles>
  <dxfs count="77">
    <dxf>
      <font>
        <b/>
        <i val="0"/>
      </font>
    </dxf>
    <dxf>
      <font>
        <b/>
        <i val="0"/>
      </font>
    </dxf>
    <dxf>
      <border>
        <bottom style="thin">
          <color auto="1"/>
        </bottom>
        <vertical/>
        <horizontal/>
      </border>
    </dxf>
    <dxf>
      <border>
        <bottom style="thin">
          <color auto="1"/>
        </bottom>
        <vertical/>
        <horizontal/>
      </border>
    </dxf>
    <dxf>
      <border>
        <bottom style="thin">
          <color auto="1"/>
        </bottom>
        <vertical/>
        <horizontal/>
      </border>
    </dxf>
    <dxf>
      <font>
        <color theme="0"/>
      </font>
    </dxf>
    <dxf>
      <font>
        <color theme="0"/>
      </font>
    </dxf>
    <dxf>
      <font>
        <color theme="0"/>
      </font>
    </dxf>
    <dxf>
      <font>
        <color theme="0" tint="-0.14996795556505021"/>
      </font>
    </dxf>
    <dxf>
      <font>
        <color theme="0" tint="-0.14996795556505021"/>
      </font>
    </dxf>
    <dxf>
      <font>
        <color theme="0" tint="-0.14996795556505021"/>
      </font>
    </dxf>
    <dxf>
      <fill>
        <patternFill>
          <bgColor theme="9" tint="0.59996337778862885"/>
        </patternFill>
      </fill>
    </dxf>
    <dxf>
      <fill>
        <patternFill>
          <bgColor theme="7" tint="0.59996337778862885"/>
        </patternFill>
      </fill>
    </dxf>
    <dxf>
      <font>
        <color theme="0"/>
      </font>
      <fill>
        <patternFill>
          <bgColor theme="5"/>
        </patternFill>
      </fill>
    </dxf>
    <dxf>
      <font>
        <color theme="0"/>
      </font>
      <fill>
        <patternFill>
          <bgColor rgb="FFFF0000"/>
        </patternFill>
      </fill>
    </dxf>
    <dxf>
      <font>
        <color theme="0"/>
      </font>
    </dxf>
    <dxf>
      <border>
        <bottom style="thin">
          <color auto="1"/>
        </bottom>
        <vertical/>
        <horizontal/>
      </border>
    </dxf>
    <dxf>
      <font>
        <color theme="4"/>
      </font>
    </dxf>
    <dxf>
      <border>
        <bottom style="thin">
          <color auto="1"/>
        </bottom>
        <vertical/>
        <horizontal/>
      </border>
    </dxf>
    <dxf>
      <border>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5" tint="0.39994506668294322"/>
        </patternFill>
      </fill>
      <border>
        <left style="thin">
          <color auto="1"/>
        </left>
        <right style="thin">
          <color auto="1"/>
        </right>
        <top style="thin">
          <color auto="1"/>
        </top>
        <bottom style="thin">
          <color auto="1"/>
        </bottom>
      </border>
    </dxf>
    <dxf>
      <fill>
        <patternFill>
          <bgColor theme="7" tint="0.59996337778862885"/>
        </patternFill>
      </fill>
      <border>
        <left style="thin">
          <color auto="1"/>
        </left>
        <right style="thin">
          <color auto="1"/>
        </right>
        <top style="thin">
          <color auto="1"/>
        </top>
        <bottom style="thin">
          <color auto="1"/>
        </bottom>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5" tint="0.59996337778862885"/>
        </patternFill>
      </fill>
    </dxf>
    <dxf>
      <fill>
        <patternFill>
          <bgColor theme="9" tint="0.59996337778862885"/>
        </patternFill>
      </fill>
    </dxf>
    <dxf>
      <fill>
        <patternFill>
          <bgColor theme="7" tint="0.79998168889431442"/>
        </patternFill>
      </fill>
    </dxf>
    <dxf>
      <fill>
        <patternFill>
          <bgColor theme="0" tint="-4.9989318521683403E-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theme="7" tint="0.79998168889431442"/>
        </patternFill>
      </fill>
    </dxf>
    <dxf>
      <fill>
        <patternFill>
          <bgColor theme="5" tint="0.59996337778862885"/>
        </patternFill>
      </fill>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border>
    </dxf>
    <dxf>
      <fill>
        <patternFill>
          <bgColor theme="9" tint="0.59996337778862885"/>
        </patternFill>
      </fill>
      <border>
        <left style="thin">
          <color auto="1"/>
        </left>
        <right style="thin">
          <color auto="1"/>
        </right>
        <top style="thin">
          <color auto="1"/>
        </top>
        <bottom style="thin">
          <color auto="1"/>
        </bottom>
        <vertical/>
        <horizontal/>
      </border>
    </dxf>
    <dxf>
      <fill>
        <patternFill>
          <bgColor theme="0" tint="-4.9989318521683403E-2"/>
        </patternFill>
      </fill>
      <border>
        <left style="thin">
          <color auto="1"/>
        </left>
        <right style="thin">
          <color auto="1"/>
        </right>
        <top style="thin">
          <color auto="1"/>
        </top>
        <bottom style="thin">
          <color auto="1"/>
        </bottom>
      </border>
    </dxf>
    <dxf>
      <fill>
        <patternFill>
          <bgColor theme="9" tint="0.39994506668294322"/>
        </patternFill>
      </fill>
      <border>
        <left style="thin">
          <color auto="1"/>
        </left>
        <right style="thin">
          <color auto="1"/>
        </right>
        <top style="thin">
          <color auto="1"/>
        </top>
        <bottom style="thin">
          <color auto="1"/>
        </bottom>
      </border>
    </dxf>
    <dxf>
      <fill>
        <patternFill>
          <bgColor theme="9" tint="0.39994506668294322"/>
        </patternFill>
      </fill>
    </dxf>
    <dxf>
      <fill>
        <patternFill>
          <bgColor theme="9" tint="0.39994506668294322"/>
        </patternFill>
      </fill>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border>
    </dxf>
    <dxf>
      <fill>
        <patternFill>
          <bgColor theme="5" tint="0.39994506668294322"/>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color rgb="FF909CD6"/>
      </font>
      <fill>
        <patternFill>
          <bgColor rgb="FF909CD6"/>
        </patternFill>
      </fill>
    </dxf>
    <dxf>
      <font>
        <color rgb="FFB07BC4"/>
      </font>
      <fill>
        <patternFill>
          <bgColor rgb="FFB07BC4"/>
        </patternFill>
      </fill>
    </dxf>
    <dxf>
      <font>
        <color theme="0"/>
      </font>
    </dxf>
    <dxf>
      <fill>
        <patternFill>
          <bgColor theme="7" tint="0.79998168889431442"/>
        </patternFill>
      </fill>
    </dxf>
    <dxf>
      <font>
        <color theme="0"/>
      </font>
      <fill>
        <patternFill>
          <bgColor rgb="FFFF0000"/>
        </patternFill>
      </fill>
    </dxf>
    <dxf>
      <fill>
        <patternFill>
          <bgColor theme="5" tint="0.59996337778862885"/>
        </patternFill>
      </fill>
    </dxf>
    <dxf>
      <fill>
        <patternFill>
          <bgColor theme="9" tint="0.59996337778862885"/>
        </patternFill>
      </fill>
    </dxf>
    <dxf>
      <font>
        <color theme="0"/>
      </font>
    </dxf>
    <dxf>
      <font>
        <color theme="0"/>
      </font>
    </dxf>
    <dxf>
      <border>
        <right style="thin">
          <color auto="1"/>
        </right>
        <vertical/>
        <horizontal/>
      </border>
    </dxf>
    <dxf>
      <fill>
        <patternFill>
          <bgColor theme="0" tint="-4.9989318521683403E-2"/>
        </patternFill>
      </fill>
    </dxf>
    <dxf>
      <fill>
        <patternFill>
          <bgColor theme="0" tint="-4.9989318521683403E-2"/>
        </patternFill>
      </fill>
    </dxf>
    <dxf>
      <fill>
        <patternFill>
          <bgColor theme="9" tint="0.39994506668294322"/>
        </patternFill>
      </fill>
    </dxf>
    <dxf>
      <border>
        <left style="thin">
          <color auto="1"/>
        </left>
        <right style="thin">
          <color auto="1"/>
        </right>
        <bottom style="thin">
          <color auto="1"/>
        </bottom>
        <vertical/>
        <horizontal/>
      </border>
    </dxf>
    <dxf>
      <border>
        <bottom style="thin">
          <color auto="1"/>
        </bottom>
        <vertical/>
        <horizontal/>
      </border>
    </dxf>
    <dxf>
      <border>
        <left style="thin">
          <color auto="1"/>
        </left>
        <vertical/>
        <horizontal/>
      </border>
    </dxf>
    <dxf>
      <fill>
        <patternFill>
          <bgColor theme="9" tint="0.39994506668294322"/>
        </patternFill>
      </fill>
    </dxf>
    <dxf>
      <fill>
        <patternFill>
          <bgColor theme="0" tint="-4.9989318521683403E-2"/>
        </patternFill>
      </fill>
    </dxf>
    <dxf>
      <fill>
        <patternFill>
          <bgColor theme="0" tint="-4.9989318521683403E-2"/>
        </patternFill>
      </fill>
    </dxf>
    <dxf>
      <fill>
        <patternFill>
          <bgColor theme="9" tint="0.39994506668294322"/>
        </patternFill>
      </fill>
    </dxf>
    <dxf>
      <font>
        <color theme="0"/>
      </font>
      <fill>
        <patternFill>
          <bgColor theme="9"/>
        </patternFill>
      </fill>
    </dxf>
    <dxf>
      <fill>
        <patternFill>
          <bgColor theme="7" tint="0.39994506668294322"/>
        </patternFill>
      </fill>
    </dxf>
    <dxf>
      <font>
        <color theme="0"/>
      </font>
      <fill>
        <patternFill>
          <bgColor theme="5"/>
        </patternFill>
      </fill>
    </dxf>
    <dxf>
      <font>
        <color theme="0"/>
      </font>
      <fill>
        <patternFill>
          <bgColor rgb="FFFF0000"/>
        </patternFill>
      </fill>
    </dxf>
  </dxfs>
  <tableStyles count="0" defaultTableStyle="TableStyleMedium2" defaultPivotStyle="PivotStyleLight16"/>
  <colors>
    <mruColors>
      <color rgb="FF909CD6"/>
      <color rgb="FFB07BC4"/>
      <color rgb="FFCC66FF"/>
      <color rgb="FF9966FF"/>
      <color rgb="FFCC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Drop" dropStyle="combo" dx="22" fmlaLink="$B$4" fmlaRange="$O$2:$O$6" noThreeD="1" sel="1" val="0"/>
</file>

<file path=xl/ctrlProps/ctrlProp10.xml><?xml version="1.0" encoding="utf-8"?>
<formControlPr xmlns="http://schemas.microsoft.com/office/spreadsheetml/2009/9/main" objectType="CheckBox" fmlaLink="$Q$75" lockText="1" noThreeD="1"/>
</file>

<file path=xl/ctrlProps/ctrlProp11.xml><?xml version="1.0" encoding="utf-8"?>
<formControlPr xmlns="http://schemas.microsoft.com/office/spreadsheetml/2009/9/main" objectType="CheckBox" fmlaLink="$Q$77" lockText="1" noThreeD="1"/>
</file>

<file path=xl/ctrlProps/ctrlProp12.xml><?xml version="1.0" encoding="utf-8"?>
<formControlPr xmlns="http://schemas.microsoft.com/office/spreadsheetml/2009/9/main" objectType="CheckBox" fmlaLink="$Q$79" lockText="1" noThreeD="1"/>
</file>

<file path=xl/ctrlProps/ctrlProp13.xml><?xml version="1.0" encoding="utf-8"?>
<formControlPr xmlns="http://schemas.microsoft.com/office/spreadsheetml/2009/9/main" objectType="CheckBox" fmlaLink="$Q$81" lockText="1" noThreeD="1"/>
</file>

<file path=xl/ctrlProps/ctrlProp14.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fmlaLink="$Q$85" lockText="1" noThreeD="1"/>
</file>

<file path=xl/ctrlProps/ctrlProp16.xml><?xml version="1.0" encoding="utf-8"?>
<formControlPr xmlns="http://schemas.microsoft.com/office/spreadsheetml/2009/9/main" objectType="CheckBox" fmlaLink="$Q$88" lockText="1" noThreeD="1"/>
</file>

<file path=xl/ctrlProps/ctrlProp17.xml><?xml version="1.0" encoding="utf-8"?>
<formControlPr xmlns="http://schemas.microsoft.com/office/spreadsheetml/2009/9/main" objectType="CheckBox" fmlaLink="$Q$89" lockText="1" noThreeD="1"/>
</file>

<file path=xl/ctrlProps/ctrlProp18.xml><?xml version="1.0" encoding="utf-8"?>
<formControlPr xmlns="http://schemas.microsoft.com/office/spreadsheetml/2009/9/main" objectType="CheckBox" fmlaLink="$Q$90" lockText="1" noThreeD="1"/>
</file>

<file path=xl/ctrlProps/ctrlProp19.xml><?xml version="1.0" encoding="utf-8"?>
<formControlPr xmlns="http://schemas.microsoft.com/office/spreadsheetml/2009/9/main" objectType="CheckBox" fmlaLink="$Q$94" lockText="1" noThreeD="1"/>
</file>

<file path=xl/ctrlProps/ctrlProp2.xml><?xml version="1.0" encoding="utf-8"?>
<formControlPr xmlns="http://schemas.microsoft.com/office/spreadsheetml/2009/9/main" objectType="Drop" dropStyle="combo" dx="22" fmlaLink="$B$7" fmlaRange="$O$7:$O$10" noThreeD="1" sel="1" val="0"/>
</file>

<file path=xl/ctrlProps/ctrlProp20.xml><?xml version="1.0" encoding="utf-8"?>
<formControlPr xmlns="http://schemas.microsoft.com/office/spreadsheetml/2009/9/main" objectType="CheckBox" fmlaLink="$Q$95" lockText="1" noThreeD="1"/>
</file>

<file path=xl/ctrlProps/ctrlProp21.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98" lockText="1" noThreeD="1"/>
</file>

<file path=xl/ctrlProps/ctrlProp23.xml><?xml version="1.0" encoding="utf-8"?>
<formControlPr xmlns="http://schemas.microsoft.com/office/spreadsheetml/2009/9/main" objectType="CheckBox" fmlaLink="$Q$100" lockText="1" noThreeD="1"/>
</file>

<file path=xl/ctrlProps/ctrlProp24.xml><?xml version="1.0" encoding="utf-8"?>
<formControlPr xmlns="http://schemas.microsoft.com/office/spreadsheetml/2009/9/main" objectType="CheckBox" fmlaLink="$Q$103" lockText="1" noThreeD="1"/>
</file>

<file path=xl/ctrlProps/ctrlProp25.xml><?xml version="1.0" encoding="utf-8"?>
<formControlPr xmlns="http://schemas.microsoft.com/office/spreadsheetml/2009/9/main" objectType="CheckBox" fmlaLink="$Q$104" lockText="1" noThreeD="1"/>
</file>

<file path=xl/ctrlProps/ctrlProp26.xml><?xml version="1.0" encoding="utf-8"?>
<formControlPr xmlns="http://schemas.microsoft.com/office/spreadsheetml/2009/9/main" objectType="CheckBox" fmlaLink="$Q$106" lockText="1" noThreeD="1"/>
</file>

<file path=xl/ctrlProps/ctrlProp27.xml><?xml version="1.0" encoding="utf-8"?>
<formControlPr xmlns="http://schemas.microsoft.com/office/spreadsheetml/2009/9/main" objectType="CheckBox" fmlaLink="$Q$108" lockText="1" noThreeD="1"/>
</file>

<file path=xl/ctrlProps/ctrlProp28.xml><?xml version="1.0" encoding="utf-8"?>
<formControlPr xmlns="http://schemas.microsoft.com/office/spreadsheetml/2009/9/main" objectType="CheckBox" fmlaLink="$Q$110" lockText="1" noThreeD="1"/>
</file>

<file path=xl/ctrlProps/ctrlProp29.xml><?xml version="1.0" encoding="utf-8"?>
<formControlPr xmlns="http://schemas.microsoft.com/office/spreadsheetml/2009/9/main" objectType="Drop" dropStyle="combo" dx="22" fmlaLink="$D$5" fmlaRange="$O$31:$O$33" noThreeD="1" sel="1" val="0"/>
</file>

<file path=xl/ctrlProps/ctrlProp3.xml><?xml version="1.0" encoding="utf-8"?>
<formControlPr xmlns="http://schemas.microsoft.com/office/spreadsheetml/2009/9/main" objectType="CheckBox" fmlaLink="$O$3" lockText="1" noThreeD="1"/>
</file>

<file path=xl/ctrlProps/ctrlProp30.xml><?xml version="1.0" encoding="utf-8"?>
<formControlPr xmlns="http://schemas.microsoft.com/office/spreadsheetml/2009/9/main" objectType="Drop" dropStyle="combo" dx="22" fmlaLink="$D$12" fmlaRange="$O$34:$O$36" noThreeD="1" sel="1" val="0"/>
</file>

<file path=xl/ctrlProps/ctrlProp31.xml><?xml version="1.0" encoding="utf-8"?>
<formControlPr xmlns="http://schemas.microsoft.com/office/spreadsheetml/2009/9/main" objectType="Drop" dropStyle="combo" dx="22" fmlaLink="$I$12" fmlaRange="$O$37:$O$41" noThreeD="1" sel="1" val="0"/>
</file>

<file path=xl/ctrlProps/ctrlProp32.xml><?xml version="1.0" encoding="utf-8"?>
<formControlPr xmlns="http://schemas.microsoft.com/office/spreadsheetml/2009/9/main" objectType="Drop" dropStyle="combo" dx="22" fmlaLink="$E$4" fmlaRange="$O$3:$O$6" noThreeD="1" sel="4" val="0"/>
</file>

<file path=xl/ctrlProps/ctrlProp33.xml><?xml version="1.0" encoding="utf-8"?>
<formControlPr xmlns="http://schemas.microsoft.com/office/spreadsheetml/2009/9/main" objectType="Drop" dropStyle="combo" dx="22" fmlaLink="$E$7" fmlaRange="$O$6:$O$8" noThreeD="1" sel="1" val="0"/>
</file>

<file path=xl/ctrlProps/ctrlProp34.xml><?xml version="1.0" encoding="utf-8"?>
<formControlPr xmlns="http://schemas.microsoft.com/office/spreadsheetml/2009/9/main" objectType="Drop" dropStyle="combo" dx="22" fmlaLink="$E$9" fmlaRange="$O$9:$O$11" noThreeD="1" sel="1" val="0"/>
</file>

<file path=xl/ctrlProps/ctrlProp35.xml><?xml version="1.0" encoding="utf-8"?>
<formControlPr xmlns="http://schemas.microsoft.com/office/spreadsheetml/2009/9/main" objectType="Drop" dropStyle="combo" dx="22" fmlaLink="$A$5" fmlaRange="$O$4:$O$7" noThreeD="1" sel="1" val="0"/>
</file>

<file path=xl/ctrlProps/ctrlProp36.xml><?xml version="1.0" encoding="utf-8"?>
<formControlPr xmlns="http://schemas.microsoft.com/office/spreadsheetml/2009/9/main" objectType="Drop" dropStyle="combo" dx="22" fmlaLink="$C$4" fmlaRange="$O$3:$O$5" noThreeD="1" sel="2" val="0"/>
</file>

<file path=xl/ctrlProps/ctrlProp37.xml><?xml version="1.0" encoding="utf-8"?>
<formControlPr xmlns="http://schemas.microsoft.com/office/spreadsheetml/2009/9/main" objectType="CheckBox" fmlaLink="$P$6" lockText="1" noThreeD="1"/>
</file>

<file path=xl/ctrlProps/ctrlProp38.xml><?xml version="1.0" encoding="utf-8"?>
<formControlPr xmlns="http://schemas.microsoft.com/office/spreadsheetml/2009/9/main" objectType="CheckBox" fmlaLink="$Q$6" lockText="1" noThreeD="1"/>
</file>

<file path=xl/ctrlProps/ctrlProp39.xml><?xml version="1.0" encoding="utf-8"?>
<formControlPr xmlns="http://schemas.microsoft.com/office/spreadsheetml/2009/9/main" objectType="CheckBox" fmlaLink="$P$8" lockText="1" noThreeD="1"/>
</file>

<file path=xl/ctrlProps/ctrlProp4.xml><?xml version="1.0" encoding="utf-8"?>
<formControlPr xmlns="http://schemas.microsoft.com/office/spreadsheetml/2009/9/main" objectType="CheckBox" fmlaLink="$P$3" lockText="1" noThreeD="1"/>
</file>

<file path=xl/ctrlProps/ctrlProp40.xml><?xml version="1.0" encoding="utf-8"?>
<formControlPr xmlns="http://schemas.microsoft.com/office/spreadsheetml/2009/9/main" objectType="CheckBox" fmlaLink="$P$10" lockText="1" noThreeD="1"/>
</file>

<file path=xl/ctrlProps/ctrlProp41.xml><?xml version="1.0" encoding="utf-8"?>
<formControlPr xmlns="http://schemas.microsoft.com/office/spreadsheetml/2009/9/main" objectType="CheckBox" fmlaLink="$P$12" lockText="1" noThreeD="1"/>
</file>

<file path=xl/ctrlProps/ctrlProp42.xml><?xml version="1.0" encoding="utf-8"?>
<formControlPr xmlns="http://schemas.microsoft.com/office/spreadsheetml/2009/9/main" objectType="CheckBox" fmlaLink="$P$14" lockText="1" noThreeD="1"/>
</file>

<file path=xl/ctrlProps/ctrlProp43.xml><?xml version="1.0" encoding="utf-8"?>
<formControlPr xmlns="http://schemas.microsoft.com/office/spreadsheetml/2009/9/main" objectType="CheckBox" fmlaLink="$P$16" lockText="1" noThreeD="1"/>
</file>

<file path=xl/ctrlProps/ctrlProp44.xml><?xml version="1.0" encoding="utf-8"?>
<formControlPr xmlns="http://schemas.microsoft.com/office/spreadsheetml/2009/9/main" objectType="CheckBox" fmlaLink="$P$37" lockText="1" noThreeD="1"/>
</file>

<file path=xl/ctrlProps/ctrlProp45.xml><?xml version="1.0" encoding="utf-8"?>
<formControlPr xmlns="http://schemas.microsoft.com/office/spreadsheetml/2009/9/main" objectType="CheckBox" fmlaLink="$P$39" lockText="1" noThreeD="1"/>
</file>

<file path=xl/ctrlProps/ctrlProp46.xml><?xml version="1.0" encoding="utf-8"?>
<formControlPr xmlns="http://schemas.microsoft.com/office/spreadsheetml/2009/9/main" objectType="CheckBox" fmlaLink="$P$41" lockText="1" noThreeD="1"/>
</file>

<file path=xl/ctrlProps/ctrlProp47.xml><?xml version="1.0" encoding="utf-8"?>
<formControlPr xmlns="http://schemas.microsoft.com/office/spreadsheetml/2009/9/main" objectType="CheckBox" fmlaLink="$P$43" lockText="1" noThreeD="1"/>
</file>

<file path=xl/ctrlProps/ctrlProp48.xml><?xml version="1.0" encoding="utf-8"?>
<formControlPr xmlns="http://schemas.microsoft.com/office/spreadsheetml/2009/9/main" objectType="CheckBox" fmlaLink="$P$45" lockText="1" noThreeD="1"/>
</file>

<file path=xl/ctrlProps/ctrlProp49.xml><?xml version="1.0" encoding="utf-8"?>
<formControlPr xmlns="http://schemas.microsoft.com/office/spreadsheetml/2009/9/main" objectType="CheckBox" fmlaLink="$P$47" lockText="1" noThreeD="1"/>
</file>

<file path=xl/ctrlProps/ctrlProp5.xml><?xml version="1.0" encoding="utf-8"?>
<formControlPr xmlns="http://schemas.microsoft.com/office/spreadsheetml/2009/9/main" objectType="Drop" dropLines="23" dropStyle="combo" dx="22" fmlaLink="$G$4" fmlaRange="$Q$23:$Q$78" noThreeD="1" sel="1" val="0"/>
</file>

<file path=xl/ctrlProps/ctrlProp50.xml><?xml version="1.0" encoding="utf-8"?>
<formControlPr xmlns="http://schemas.microsoft.com/office/spreadsheetml/2009/9/main" objectType="CheckBox" fmlaLink="$P$49" lockText="1" noThreeD="1"/>
</file>

<file path=xl/ctrlProps/ctrlProp51.xml><?xml version="1.0" encoding="utf-8"?>
<formControlPr xmlns="http://schemas.microsoft.com/office/spreadsheetml/2009/9/main" objectType="CheckBox" fmlaLink="$P$51" lockText="1" noThreeD="1"/>
</file>

<file path=xl/ctrlProps/ctrlProp52.xml><?xml version="1.0" encoding="utf-8"?>
<formControlPr xmlns="http://schemas.microsoft.com/office/spreadsheetml/2009/9/main" objectType="CheckBox" fmlaLink="$P$53" lockText="1" noThreeD="1"/>
</file>

<file path=xl/ctrlProps/ctrlProp53.xml><?xml version="1.0" encoding="utf-8"?>
<formControlPr xmlns="http://schemas.microsoft.com/office/spreadsheetml/2009/9/main" objectType="Radio" checked="Checked" firstButton="1" fmlaLink="$O$1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firstButton="1" fmlaLink="$P$6" lockText="1" noThreeD="1"/>
</file>

<file path=xl/ctrlProps/ctrlProp56.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O$6"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CheckBox" fmlaLink="$Q$71" lockText="1" noThreeD="1"/>
</file>

<file path=xl/ctrlProps/ctrlProp9.xml><?xml version="1.0" encoding="utf-8"?>
<formControlPr xmlns="http://schemas.microsoft.com/office/spreadsheetml/2009/9/main" objectType="CheckBox" fmlaLink="$Q$7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Main!A1"/></Relationships>
</file>

<file path=xl/drawings/_rels/drawing1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585549</xdr:colOff>
      <xdr:row>19</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9518638" cy="3714750"/>
        </a:xfrm>
        <a:prstGeom prst="rect">
          <a:avLst/>
        </a:prstGeom>
      </xdr:spPr>
    </xdr:pic>
    <xdr:clientData/>
  </xdr:twoCellAnchor>
  <xdr:twoCellAnchor editAs="oneCell">
    <xdr:from>
      <xdr:col>11</xdr:col>
      <xdr:colOff>244317</xdr:colOff>
      <xdr:row>21</xdr:row>
      <xdr:rowOff>11878</xdr:rowOff>
    </xdr:from>
    <xdr:to>
      <xdr:col>13</xdr:col>
      <xdr:colOff>255610</xdr:colOff>
      <xdr:row>26</xdr:row>
      <xdr:rowOff>7639</xdr:rowOff>
    </xdr:to>
    <xdr:pic>
      <xdr:nvPicPr>
        <xdr:cNvPr id="3" name="Picture 2" descr="Georgian College of Internal Medicine (GEOCIM)">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2986" y="3965265"/>
          <a:ext cx="1271051" cy="932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452318</xdr:colOff>
      <xdr:row>22</xdr:row>
      <xdr:rowOff>161677</xdr:rowOff>
    </xdr:from>
    <xdr:to>
      <xdr:col>11</xdr:col>
      <xdr:colOff>214145</xdr:colOff>
      <xdr:row>25</xdr:row>
      <xdr:rowOff>71153</xdr:rowOff>
    </xdr:to>
    <xdr:pic>
      <xdr:nvPicPr>
        <xdr:cNvPr id="4" name="Picture 3" descr="საქართველოს კარდიოლოგთა საზოგადოება">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91350" y="4304540"/>
          <a:ext cx="1651464" cy="472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6</xdr:row>
          <xdr:rowOff>57150</xdr:rowOff>
        </xdr:from>
        <xdr:to>
          <xdr:col>5</xdr:col>
          <xdr:colOff>660400</xdr:colOff>
          <xdr:row>7</xdr:row>
          <xdr:rowOff>76200</xdr:rowOff>
        </xdr:to>
        <xdr:sp macro="" textlink="">
          <xdr:nvSpPr>
            <xdr:cNvPr id="20481" name="Drop Down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409575</xdr:colOff>
      <xdr:row>124</xdr:row>
      <xdr:rowOff>36372</xdr:rowOff>
    </xdr:from>
    <xdr:to>
      <xdr:col>12</xdr:col>
      <xdr:colOff>581025</xdr:colOff>
      <xdr:row>154</xdr:row>
      <xdr:rowOff>127859</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95375" y="23658372"/>
          <a:ext cx="7715250" cy="5806487"/>
        </a:xfrm>
        <a:prstGeom prst="rect">
          <a:avLst/>
        </a:prstGeom>
      </xdr:spPr>
    </xdr:pic>
    <xdr:clientData/>
  </xdr:twoCellAnchor>
  <xdr:twoCellAnchor>
    <xdr:from>
      <xdr:col>2</xdr:col>
      <xdr:colOff>381000</xdr:colOff>
      <xdr:row>124</xdr:row>
      <xdr:rowOff>133350</xdr:rowOff>
    </xdr:from>
    <xdr:to>
      <xdr:col>12</xdr:col>
      <xdr:colOff>95250</xdr:colOff>
      <xdr:row>127</xdr:row>
      <xdr:rowOff>38100</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752600" y="23755350"/>
          <a:ext cx="65722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latin typeface="Calibri Light" panose="020F0302020204030204" pitchFamily="34" charset="0"/>
              <a:cs typeface="Calibri" panose="020F0502020204030204" pitchFamily="34" charset="0"/>
            </a:rPr>
            <a:t>ტიპი</a:t>
          </a:r>
          <a:r>
            <a:rPr lang="ka-GE" sz="1100" b="1" baseline="0">
              <a:latin typeface="Calibri Light" panose="020F0302020204030204" pitchFamily="34" charset="0"/>
              <a:cs typeface="Calibri" panose="020F0502020204030204" pitchFamily="34" charset="0"/>
            </a:rPr>
            <a:t> 2 შაქრიანი დიაბეტით და გულის უკმარისობით დაავადებულ პაციენტებში გულის უკმარისობასთან ასოცირებული ჰოსპიტალიზაციის და კარდიოვასკულური სიკვდილობის რისკის რედუქციის მიზნით</a:t>
          </a:r>
          <a:endParaRPr lang="ka-GE" sz="1100" b="1">
            <a:latin typeface="Calibri Light" panose="020F0302020204030204" pitchFamily="34" charset="0"/>
            <a:cs typeface="Calibri" panose="020F0502020204030204" pitchFamily="34" charset="0"/>
          </a:endParaRPr>
        </a:p>
      </xdr:txBody>
    </xdr:sp>
    <xdr:clientData/>
  </xdr:twoCellAnchor>
  <xdr:twoCellAnchor>
    <xdr:from>
      <xdr:col>5</xdr:col>
      <xdr:colOff>428625</xdr:colOff>
      <xdr:row>128</xdr:row>
      <xdr:rowOff>47625</xdr:rowOff>
    </xdr:from>
    <xdr:to>
      <xdr:col>9</xdr:col>
      <xdr:colOff>0</xdr:colOff>
      <xdr:row>130</xdr:row>
      <xdr:rowOff>142875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857625" y="24431625"/>
          <a:ext cx="23145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Calibri Light" panose="020F0302020204030204" pitchFamily="34" charset="0"/>
              <a:cs typeface="Calibri" panose="020F0502020204030204" pitchFamily="34" charset="0"/>
            </a:rPr>
            <a:t>SGLT-2 </a:t>
          </a:r>
          <a:r>
            <a:rPr lang="ka-GE" sz="1100" b="1">
              <a:latin typeface="Calibri Light" panose="020F0302020204030204" pitchFamily="34" charset="0"/>
              <a:cs typeface="Calibri" panose="020F0502020204030204" pitchFamily="34" charset="0"/>
            </a:rPr>
            <a:t>ინჰიბტორი</a:t>
          </a:r>
        </a:p>
        <a:p>
          <a:pPr algn="ctr"/>
          <a:r>
            <a:rPr lang="ka-GE" sz="1100" b="1">
              <a:latin typeface="Calibri Light" panose="020F0302020204030204" pitchFamily="34" charset="0"/>
              <a:cs typeface="Calibri" panose="020F0502020204030204" pitchFamily="34" charset="0"/>
            </a:rPr>
            <a:t>კლასი </a:t>
          </a:r>
          <a:r>
            <a:rPr lang="en-US" sz="1100" b="1">
              <a:latin typeface="Calibri Light" panose="020F0302020204030204" pitchFamily="34" charset="0"/>
              <a:cs typeface="Calibri" panose="020F0502020204030204" pitchFamily="34" charset="0"/>
            </a:rPr>
            <a:t>I</a:t>
          </a:r>
          <a:endParaRPr lang="ka-GE" sz="1100" b="1">
            <a:latin typeface="Calibri Light" panose="020F0302020204030204" pitchFamily="34" charset="0"/>
            <a:cs typeface="Calibri" panose="020F0502020204030204" pitchFamily="34" charset="0"/>
          </a:endParaRPr>
        </a:p>
      </xdr:txBody>
    </xdr:sp>
    <xdr:clientData/>
  </xdr:twoCellAnchor>
  <xdr:twoCellAnchor>
    <xdr:from>
      <xdr:col>5</xdr:col>
      <xdr:colOff>666750</xdr:colOff>
      <xdr:row>130</xdr:row>
      <xdr:rowOff>57150</xdr:rowOff>
    </xdr:from>
    <xdr:to>
      <xdr:col>8</xdr:col>
      <xdr:colOff>381000</xdr:colOff>
      <xdr:row>132</xdr:row>
      <xdr:rowOff>152400</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4095750" y="24822150"/>
          <a:ext cx="17716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a:latin typeface="Calibri Light" panose="020F0302020204030204" pitchFamily="34" charset="0"/>
              <a:cs typeface="Calibri" panose="020F0502020204030204" pitchFamily="34" charset="0"/>
            </a:rPr>
            <a:t>HbA1c</a:t>
          </a:r>
          <a:r>
            <a:rPr lang="ka-GE" sz="1100" b="0">
              <a:latin typeface="Calibri Light" panose="020F0302020204030204" pitchFamily="34" charset="0"/>
              <a:cs typeface="Calibri" panose="020F0502020204030204" pitchFamily="34" charset="0"/>
            </a:rPr>
            <a:t>-ის მიუხედავად</a:t>
          </a:r>
        </a:p>
      </xdr:txBody>
    </xdr:sp>
    <xdr:clientData/>
  </xdr:twoCellAnchor>
  <xdr:twoCellAnchor>
    <xdr:from>
      <xdr:col>1</xdr:col>
      <xdr:colOff>257175</xdr:colOff>
      <xdr:row>127</xdr:row>
      <xdr:rowOff>76200</xdr:rowOff>
    </xdr:from>
    <xdr:to>
      <xdr:col>5</xdr:col>
      <xdr:colOff>190499</xdr:colOff>
      <xdr:row>131</xdr:row>
      <xdr:rowOff>19050</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942975" y="24269700"/>
          <a:ext cx="2676524"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050" b="0">
              <a:latin typeface="Calibri Light" panose="020F0302020204030204" pitchFamily="34" charset="0"/>
              <a:cs typeface="Calibri" panose="020F0502020204030204" pitchFamily="34" charset="0"/>
            </a:rPr>
            <a:t>HFrEF:</a:t>
          </a:r>
          <a:r>
            <a:rPr lang="en-US" sz="1050" b="0" baseline="0">
              <a:latin typeface="Calibri Light" panose="020F0302020204030204" pitchFamily="34" charset="0"/>
              <a:cs typeface="Calibri" panose="020F0502020204030204" pitchFamily="34" charset="0"/>
            </a:rPr>
            <a:t> </a:t>
          </a:r>
          <a:r>
            <a:rPr lang="ka-GE" sz="1050" b="0" baseline="0">
              <a:latin typeface="Calibri Light" panose="020F0302020204030204" pitchFamily="34" charset="0"/>
              <a:cs typeface="Calibri" panose="020F0502020204030204" pitchFamily="34" charset="0"/>
            </a:rPr>
            <a:t>ემპაგლიფლოზინი, დაპაგლიფლოზინი ან სოტაგლიფლოზინი </a:t>
          </a:r>
          <a:endParaRPr lang="ka-GE" sz="1050" b="0">
            <a:latin typeface="Calibri Light" panose="020F0302020204030204" pitchFamily="34" charset="0"/>
            <a:cs typeface="Calibri" panose="020F0502020204030204" pitchFamily="34" charset="0"/>
          </a:endParaRPr>
        </a:p>
      </xdr:txBody>
    </xdr:sp>
    <xdr:clientData/>
  </xdr:twoCellAnchor>
  <xdr:twoCellAnchor>
    <xdr:from>
      <xdr:col>9</xdr:col>
      <xdr:colOff>123825</xdr:colOff>
      <xdr:row>127</xdr:row>
      <xdr:rowOff>57150</xdr:rowOff>
    </xdr:from>
    <xdr:to>
      <xdr:col>12</xdr:col>
      <xdr:colOff>180975</xdr:colOff>
      <xdr:row>131</xdr:row>
      <xdr:rowOff>0</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6296025" y="24250650"/>
          <a:ext cx="21145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0">
              <a:latin typeface="Calibri Light" panose="020F0302020204030204" pitchFamily="34" charset="0"/>
              <a:cs typeface="Calibri" panose="020F0502020204030204" pitchFamily="34" charset="0"/>
            </a:rPr>
            <a:t>HFpEF </a:t>
          </a:r>
          <a:r>
            <a:rPr lang="ka-GE" sz="1050" b="0">
              <a:latin typeface="Calibri Light" panose="020F0302020204030204" pitchFamily="34" charset="0"/>
              <a:cs typeface="Calibri" panose="020F0502020204030204" pitchFamily="34" charset="0"/>
            </a:rPr>
            <a:t>და </a:t>
          </a:r>
          <a:r>
            <a:rPr lang="en-US" sz="1050" b="0">
              <a:latin typeface="Calibri Light" panose="020F0302020204030204" pitchFamily="34" charset="0"/>
              <a:cs typeface="Calibri" panose="020F0502020204030204" pitchFamily="34" charset="0"/>
            </a:rPr>
            <a:t>HFmrEF:</a:t>
          </a:r>
          <a:r>
            <a:rPr lang="en-US" sz="1050" b="0" baseline="0">
              <a:latin typeface="Calibri Light" panose="020F0302020204030204" pitchFamily="34" charset="0"/>
              <a:cs typeface="Calibri" panose="020F0502020204030204" pitchFamily="34" charset="0"/>
            </a:rPr>
            <a:t> </a:t>
          </a:r>
          <a:r>
            <a:rPr lang="ka-GE" sz="1050" b="0" baseline="0">
              <a:latin typeface="Calibri Light" panose="020F0302020204030204" pitchFamily="34" charset="0"/>
              <a:cs typeface="Calibri" panose="020F0502020204030204" pitchFamily="34" charset="0"/>
            </a:rPr>
            <a:t>ემპაგლიფლოზინი</a:t>
          </a:r>
          <a:r>
            <a:rPr lang="en-US" sz="1050" b="0" baseline="0">
              <a:latin typeface="Calibri Light" panose="020F0302020204030204" pitchFamily="34" charset="0"/>
              <a:cs typeface="Calibri" panose="020F0502020204030204" pitchFamily="34" charset="0"/>
            </a:rPr>
            <a:t> </a:t>
          </a:r>
          <a:r>
            <a:rPr lang="ka-GE" sz="1050" b="0" baseline="0">
              <a:latin typeface="Calibri Light" panose="020F0302020204030204" pitchFamily="34" charset="0"/>
              <a:cs typeface="Calibri" panose="020F0502020204030204" pitchFamily="34" charset="0"/>
            </a:rPr>
            <a:t>ან დაპაგლიფლოზინი ან </a:t>
          </a:r>
          <a:endParaRPr lang="ka-GE" sz="1050" b="0">
            <a:latin typeface="Calibri Light" panose="020F0302020204030204" pitchFamily="34" charset="0"/>
            <a:cs typeface="Calibri" panose="020F0502020204030204" pitchFamily="34" charset="0"/>
          </a:endParaRPr>
        </a:p>
      </xdr:txBody>
    </xdr:sp>
    <xdr:clientData/>
  </xdr:twoCellAnchor>
  <xdr:twoCellAnchor>
    <xdr:from>
      <xdr:col>4</xdr:col>
      <xdr:colOff>495299</xdr:colOff>
      <xdr:row>131</xdr:row>
      <xdr:rowOff>85725</xdr:rowOff>
    </xdr:from>
    <xdr:to>
      <xdr:col>9</xdr:col>
      <xdr:colOff>561974</xdr:colOff>
      <xdr:row>133</xdr:row>
      <xdr:rowOff>180975</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238499" y="25041225"/>
          <a:ext cx="3495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a:latin typeface="Calibri Light" panose="020F0302020204030204" pitchFamily="34" charset="0"/>
              <a:cs typeface="Calibri" panose="020F0502020204030204" pitchFamily="34" charset="0"/>
            </a:rPr>
            <a:t>ჰ</a:t>
          </a:r>
          <a:r>
            <a:rPr lang="ka-GE" sz="1100" b="0">
              <a:latin typeface="Calibri Light" panose="020F0302020204030204" pitchFamily="34" charset="0"/>
              <a:cs typeface="Calibri" panose="020F0502020204030204" pitchFamily="34" charset="0"/>
            </a:rPr>
            <a:t>იპოგლიკემიური მედიკამენტის მიუხედავად</a:t>
          </a:r>
        </a:p>
      </xdr:txBody>
    </xdr:sp>
    <xdr:clientData/>
  </xdr:twoCellAnchor>
  <xdr:twoCellAnchor>
    <xdr:from>
      <xdr:col>3</xdr:col>
      <xdr:colOff>657224</xdr:colOff>
      <xdr:row>135</xdr:row>
      <xdr:rowOff>180975</xdr:rowOff>
    </xdr:from>
    <xdr:to>
      <xdr:col>10</xdr:col>
      <xdr:colOff>390525</xdr:colOff>
      <xdr:row>138</xdr:row>
      <xdr:rowOff>85725</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2714624" y="25898475"/>
          <a:ext cx="4533901"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latin typeface="Calibri Light" panose="020F0302020204030204" pitchFamily="34" charset="0"/>
              <a:cs typeface="Calibri" panose="020F0502020204030204" pitchFamily="34" charset="0"/>
            </a:rPr>
            <a:t>დამატებითი</a:t>
          </a:r>
          <a:r>
            <a:rPr lang="ka-GE" sz="1100" b="1" baseline="0">
              <a:latin typeface="Calibri Light" panose="020F0302020204030204" pitchFamily="34" charset="0"/>
              <a:cs typeface="Calibri" panose="020F0502020204030204" pitchFamily="34" charset="0"/>
            </a:rPr>
            <a:t> ჰიპოგლიკემიური თერაპიის საჭიროების შემთხვევაში</a:t>
          </a:r>
          <a:endParaRPr lang="ka-GE" sz="1100" b="1">
            <a:latin typeface="Calibri Light" panose="020F0302020204030204" pitchFamily="34" charset="0"/>
            <a:cs typeface="Calibri" panose="020F0502020204030204" pitchFamily="34" charset="0"/>
          </a:endParaRPr>
        </a:p>
      </xdr:txBody>
    </xdr:sp>
    <xdr:clientData/>
  </xdr:twoCellAnchor>
  <xdr:twoCellAnchor>
    <xdr:from>
      <xdr:col>2</xdr:col>
      <xdr:colOff>476250</xdr:colOff>
      <xdr:row>142</xdr:row>
      <xdr:rowOff>66675</xdr:rowOff>
    </xdr:from>
    <xdr:to>
      <xdr:col>4</xdr:col>
      <xdr:colOff>180975</xdr:colOff>
      <xdr:row>144</xdr:row>
      <xdr:rowOff>161925</xdr:rowOff>
    </xdr:to>
    <xdr:sp macro="" textlink="">
      <xdr:nvSpPr>
        <xdr:cNvPr id="11" name="TextBox 10">
          <a:extLst>
            <a:ext uri="{FF2B5EF4-FFF2-40B4-BE49-F238E27FC236}">
              <a16:creationId xmlns:a16="http://schemas.microsoft.com/office/drawing/2014/main" id="{00000000-0008-0000-0B00-00000B000000}"/>
            </a:ext>
          </a:extLst>
        </xdr:cNvPr>
        <xdr:cNvSpPr txBox="1"/>
      </xdr:nvSpPr>
      <xdr:spPr>
        <a:xfrm>
          <a:off x="1847850" y="27117675"/>
          <a:ext cx="107632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Calibri Light" panose="020F0302020204030204" pitchFamily="34" charset="0"/>
              <a:cs typeface="Calibri" panose="020F0502020204030204" pitchFamily="34" charset="0"/>
            </a:rPr>
            <a:t>GLP-1 RA</a:t>
          </a:r>
          <a:endParaRPr lang="ka-GE" sz="1100" b="1">
            <a:latin typeface="Calibri Light" panose="020F0302020204030204" pitchFamily="34" charset="0"/>
            <a:cs typeface="Calibri" panose="020F0502020204030204" pitchFamily="34" charset="0"/>
          </a:endParaRPr>
        </a:p>
        <a:p>
          <a:pPr algn="ctr"/>
          <a:r>
            <a:rPr lang="ka-GE" sz="1100" b="1">
              <a:latin typeface="Calibri Light" panose="020F0302020204030204" pitchFamily="34" charset="0"/>
              <a:cs typeface="Calibri" panose="020F0502020204030204" pitchFamily="34" charset="0"/>
            </a:rPr>
            <a:t>კლასი </a:t>
          </a:r>
          <a:r>
            <a:rPr lang="en-US" sz="1100" b="1">
              <a:latin typeface="Calibri Light" panose="020F0302020204030204" pitchFamily="34" charset="0"/>
              <a:cs typeface="Calibri" panose="020F0502020204030204" pitchFamily="34" charset="0"/>
            </a:rPr>
            <a:t>IIa</a:t>
          </a:r>
          <a:endParaRPr lang="ka-GE" sz="1100" b="1">
            <a:latin typeface="Calibri Light" panose="020F0302020204030204" pitchFamily="34" charset="0"/>
            <a:cs typeface="Calibri" panose="020F0502020204030204" pitchFamily="34" charset="0"/>
          </a:endParaRPr>
        </a:p>
      </xdr:txBody>
    </xdr:sp>
    <xdr:clientData/>
  </xdr:twoCellAnchor>
  <xdr:twoCellAnchor>
    <xdr:from>
      <xdr:col>2</xdr:col>
      <xdr:colOff>38101</xdr:colOff>
      <xdr:row>137</xdr:row>
      <xdr:rowOff>114300</xdr:rowOff>
    </xdr:from>
    <xdr:to>
      <xdr:col>4</xdr:col>
      <xdr:colOff>533401</xdr:colOff>
      <xdr:row>142</xdr:row>
      <xdr:rowOff>76200</xdr:rowOff>
    </xdr:to>
    <xdr:sp macro="" textlink="">
      <xdr:nvSpPr>
        <xdr:cNvPr id="12" name="TextBox 11">
          <a:extLst>
            <a:ext uri="{FF2B5EF4-FFF2-40B4-BE49-F238E27FC236}">
              <a16:creationId xmlns:a16="http://schemas.microsoft.com/office/drawing/2014/main" id="{00000000-0008-0000-0B00-00000C000000}"/>
            </a:ext>
          </a:extLst>
        </xdr:cNvPr>
        <xdr:cNvSpPr txBox="1"/>
      </xdr:nvSpPr>
      <xdr:spPr>
        <a:xfrm>
          <a:off x="1409701" y="26212800"/>
          <a:ext cx="1866900"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900" b="0">
              <a:latin typeface="Calibri Light" panose="020F0302020204030204" pitchFamily="34" charset="0"/>
              <a:cs typeface="Calibri" panose="020F0502020204030204" pitchFamily="34" charset="0"/>
            </a:rPr>
            <a:t>უპირატესობა</a:t>
          </a:r>
          <a:r>
            <a:rPr lang="ka-GE" sz="900" b="0" baseline="0">
              <a:latin typeface="Calibri Light" panose="020F0302020204030204" pitchFamily="34" charset="0"/>
              <a:cs typeface="Calibri" panose="020F0502020204030204" pitchFamily="34" charset="0"/>
            </a:rPr>
            <a:t> ენიჭება პაციენტებში ათერსკლეროზული კარდიოვასულური დაავადებით და წონის რედუქციის საჭიროების შემთხვევაში</a:t>
          </a:r>
          <a:endParaRPr lang="ka-GE" sz="900" b="0">
            <a:latin typeface="Calibri Light" panose="020F0302020204030204" pitchFamily="34" charset="0"/>
            <a:cs typeface="Calibri" panose="020F0502020204030204" pitchFamily="34" charset="0"/>
          </a:endParaRPr>
        </a:p>
      </xdr:txBody>
    </xdr:sp>
    <xdr:clientData/>
  </xdr:twoCellAnchor>
  <xdr:twoCellAnchor>
    <xdr:from>
      <xdr:col>5</xdr:col>
      <xdr:colOff>76200</xdr:colOff>
      <xdr:row>141</xdr:row>
      <xdr:rowOff>123824</xdr:rowOff>
    </xdr:from>
    <xdr:to>
      <xdr:col>6</xdr:col>
      <xdr:colOff>657225</xdr:colOff>
      <xdr:row>145</xdr:row>
      <xdr:rowOff>114300</xdr:rowOff>
    </xdr:to>
    <xdr:sp macro="" textlink="">
      <xdr:nvSpPr>
        <xdr:cNvPr id="13" name="TextBox 12">
          <a:extLst>
            <a:ext uri="{FF2B5EF4-FFF2-40B4-BE49-F238E27FC236}">
              <a16:creationId xmlns:a16="http://schemas.microsoft.com/office/drawing/2014/main" id="{00000000-0008-0000-0B00-00000D000000}"/>
            </a:ext>
          </a:extLst>
        </xdr:cNvPr>
        <xdr:cNvSpPr txBox="1"/>
      </xdr:nvSpPr>
      <xdr:spPr>
        <a:xfrm>
          <a:off x="3505200" y="26984324"/>
          <a:ext cx="1266825" cy="75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latin typeface="Calibri Light" panose="020F0302020204030204" pitchFamily="34" charset="0"/>
              <a:cs typeface="Calibri" panose="020F0502020204030204" pitchFamily="34" charset="0"/>
            </a:rPr>
            <a:t>ს</a:t>
          </a:r>
          <a:r>
            <a:rPr lang="ka-GE" sz="1100" b="1">
              <a:latin typeface="Calibri Light" panose="020F0302020204030204" pitchFamily="34" charset="0"/>
              <a:cs typeface="Calibri" panose="020F0502020204030204" pitchFamily="34" charset="0"/>
            </a:rPr>
            <a:t>იტაგლიპტინი</a:t>
          </a:r>
        </a:p>
        <a:p>
          <a:pPr algn="ctr"/>
          <a:r>
            <a:rPr lang="ka-GE" sz="1100" b="1">
              <a:latin typeface="Calibri Light" panose="020F0302020204030204" pitchFamily="34" charset="0"/>
              <a:cs typeface="Calibri" panose="020F0502020204030204" pitchFamily="34" charset="0"/>
            </a:rPr>
            <a:t>ლინაგლიპტინი</a:t>
          </a:r>
        </a:p>
        <a:p>
          <a:pPr algn="ctr"/>
          <a:r>
            <a:rPr lang="ka-GE" sz="1100" b="1">
              <a:latin typeface="Calibri Light" panose="020F0302020204030204" pitchFamily="34" charset="0"/>
              <a:cs typeface="Calibri" panose="020F0502020204030204" pitchFamily="34" charset="0"/>
            </a:rPr>
            <a:t>კლასი </a:t>
          </a:r>
          <a:r>
            <a:rPr lang="en-US" sz="1100" b="1">
              <a:latin typeface="Calibri Light" panose="020F0302020204030204" pitchFamily="34" charset="0"/>
              <a:cs typeface="Calibri" panose="020F0502020204030204" pitchFamily="34" charset="0"/>
            </a:rPr>
            <a:t>IIa</a:t>
          </a:r>
          <a:endParaRPr lang="ka-GE" sz="1100" b="1">
            <a:latin typeface="Calibri Light" panose="020F0302020204030204" pitchFamily="34" charset="0"/>
            <a:cs typeface="Calibri" panose="020F0502020204030204" pitchFamily="34" charset="0"/>
          </a:endParaRPr>
        </a:p>
      </xdr:txBody>
    </xdr:sp>
    <xdr:clientData/>
  </xdr:twoCellAnchor>
  <xdr:twoCellAnchor>
    <xdr:from>
      <xdr:col>7</xdr:col>
      <xdr:colOff>447675</xdr:colOff>
      <xdr:row>142</xdr:row>
      <xdr:rowOff>76199</xdr:rowOff>
    </xdr:from>
    <xdr:to>
      <xdr:col>9</xdr:col>
      <xdr:colOff>342900</xdr:colOff>
      <xdr:row>144</xdr:row>
      <xdr:rowOff>161925</xdr:rowOff>
    </xdr:to>
    <xdr:sp macro="" textlink="">
      <xdr:nvSpPr>
        <xdr:cNvPr id="14" name="TextBox 13">
          <a:extLst>
            <a:ext uri="{FF2B5EF4-FFF2-40B4-BE49-F238E27FC236}">
              <a16:creationId xmlns:a16="http://schemas.microsoft.com/office/drawing/2014/main" id="{00000000-0008-0000-0B00-00000E000000}"/>
            </a:ext>
          </a:extLst>
        </xdr:cNvPr>
        <xdr:cNvSpPr txBox="1"/>
      </xdr:nvSpPr>
      <xdr:spPr>
        <a:xfrm>
          <a:off x="5248275" y="27127199"/>
          <a:ext cx="1266825"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latin typeface="Calibri Light" panose="020F0302020204030204" pitchFamily="34" charset="0"/>
              <a:cs typeface="Calibri" panose="020F0502020204030204" pitchFamily="34" charset="0"/>
            </a:rPr>
            <a:t>მეტფორმინი</a:t>
          </a:r>
        </a:p>
        <a:p>
          <a:pPr algn="ctr"/>
          <a:r>
            <a:rPr lang="ka-GE" sz="1100" b="1">
              <a:latin typeface="Calibri Light" panose="020F0302020204030204" pitchFamily="34" charset="0"/>
              <a:cs typeface="Calibri" panose="020F0502020204030204" pitchFamily="34" charset="0"/>
            </a:rPr>
            <a:t>კლასი </a:t>
          </a:r>
          <a:r>
            <a:rPr lang="en-US" sz="1100" b="1">
              <a:latin typeface="Calibri Light" panose="020F0302020204030204" pitchFamily="34" charset="0"/>
              <a:cs typeface="Calibri" panose="020F0502020204030204" pitchFamily="34" charset="0"/>
            </a:rPr>
            <a:t>IIa</a:t>
          </a:r>
          <a:endParaRPr lang="ka-GE" sz="1100" b="1">
            <a:latin typeface="Calibri Light" panose="020F0302020204030204" pitchFamily="34" charset="0"/>
            <a:cs typeface="Calibri" panose="020F0502020204030204" pitchFamily="34" charset="0"/>
          </a:endParaRPr>
        </a:p>
      </xdr:txBody>
    </xdr:sp>
    <xdr:clientData/>
  </xdr:twoCellAnchor>
  <xdr:twoCellAnchor>
    <xdr:from>
      <xdr:col>10</xdr:col>
      <xdr:colOff>104775</xdr:colOff>
      <xdr:row>141</xdr:row>
      <xdr:rowOff>123823</xdr:rowOff>
    </xdr:from>
    <xdr:to>
      <xdr:col>12</xdr:col>
      <xdr:colOff>0</xdr:colOff>
      <xdr:row>145</xdr:row>
      <xdr:rowOff>76200</xdr:rowOff>
    </xdr:to>
    <xdr:sp macro="" textlink="">
      <xdr:nvSpPr>
        <xdr:cNvPr id="15" name="TextBox 14">
          <a:extLst>
            <a:ext uri="{FF2B5EF4-FFF2-40B4-BE49-F238E27FC236}">
              <a16:creationId xmlns:a16="http://schemas.microsoft.com/office/drawing/2014/main" id="{00000000-0008-0000-0B00-00000F000000}"/>
            </a:ext>
          </a:extLst>
        </xdr:cNvPr>
        <xdr:cNvSpPr txBox="1"/>
      </xdr:nvSpPr>
      <xdr:spPr>
        <a:xfrm>
          <a:off x="6962775" y="26984323"/>
          <a:ext cx="1266825" cy="714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latin typeface="Calibri Light" panose="020F0302020204030204" pitchFamily="34" charset="0"/>
              <a:cs typeface="Calibri" panose="020F0502020204030204" pitchFamily="34" charset="0"/>
            </a:rPr>
            <a:t>გლარგინი</a:t>
          </a:r>
        </a:p>
        <a:p>
          <a:pPr algn="ctr"/>
          <a:r>
            <a:rPr lang="ka-GE" sz="1100" b="1">
              <a:latin typeface="Calibri Light" panose="020F0302020204030204" pitchFamily="34" charset="0"/>
              <a:cs typeface="Calibri" panose="020F0502020204030204" pitchFamily="34" charset="0"/>
            </a:rPr>
            <a:t>დეგლუდეკი</a:t>
          </a:r>
        </a:p>
        <a:p>
          <a:pPr algn="ctr"/>
          <a:r>
            <a:rPr lang="ka-GE" sz="1100" b="1">
              <a:latin typeface="Calibri Light" panose="020F0302020204030204" pitchFamily="34" charset="0"/>
              <a:cs typeface="Calibri" panose="020F0502020204030204" pitchFamily="34" charset="0"/>
            </a:rPr>
            <a:t>კლასი </a:t>
          </a:r>
          <a:r>
            <a:rPr lang="en-US" sz="1100" b="1">
              <a:latin typeface="Calibri Light" panose="020F0302020204030204" pitchFamily="34" charset="0"/>
              <a:cs typeface="Calibri" panose="020F0502020204030204" pitchFamily="34" charset="0"/>
            </a:rPr>
            <a:t>IIa</a:t>
          </a:r>
          <a:endParaRPr lang="ka-GE" sz="1100" b="1">
            <a:latin typeface="Calibri Light" panose="020F0302020204030204" pitchFamily="34" charset="0"/>
            <a:cs typeface="Calibri" panose="020F0502020204030204" pitchFamily="34" charset="0"/>
          </a:endParaRPr>
        </a:p>
      </xdr:txBody>
    </xdr:sp>
    <xdr:clientData/>
  </xdr:twoCellAnchor>
  <xdr:twoCellAnchor>
    <xdr:from>
      <xdr:col>2</xdr:col>
      <xdr:colOff>171449</xdr:colOff>
      <xdr:row>146</xdr:row>
      <xdr:rowOff>152400</xdr:rowOff>
    </xdr:from>
    <xdr:to>
      <xdr:col>12</xdr:col>
      <xdr:colOff>152400</xdr:colOff>
      <xdr:row>149</xdr:row>
      <xdr:rowOff>57150</xdr:rowOff>
    </xdr:to>
    <xdr:sp macro="" textlink="">
      <xdr:nvSpPr>
        <xdr:cNvPr id="16" name="TextBox 15">
          <a:extLst>
            <a:ext uri="{FF2B5EF4-FFF2-40B4-BE49-F238E27FC236}">
              <a16:creationId xmlns:a16="http://schemas.microsoft.com/office/drawing/2014/main" id="{00000000-0008-0000-0B00-000010000000}"/>
            </a:ext>
          </a:extLst>
        </xdr:cNvPr>
        <xdr:cNvSpPr txBox="1"/>
      </xdr:nvSpPr>
      <xdr:spPr>
        <a:xfrm>
          <a:off x="1543049" y="27965400"/>
          <a:ext cx="6838951"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latin typeface="Calibri Light" panose="020F0302020204030204" pitchFamily="34" charset="0"/>
              <a:cs typeface="Calibri" panose="020F0502020204030204" pitchFamily="34" charset="0"/>
            </a:rPr>
            <a:t>ჰპოგლიკემიური მედიკამენტები, რომელთა გამოყენება არ არის რეკომენდებული გულის უკმარისობის დროს,</a:t>
          </a:r>
          <a:r>
            <a:rPr lang="ka-GE" sz="1100" b="1" baseline="0">
              <a:latin typeface="Calibri Light" panose="020F0302020204030204" pitchFamily="34" charset="0"/>
              <a:cs typeface="Calibri" panose="020F0502020204030204" pitchFamily="34" charset="0"/>
            </a:rPr>
            <a:t> გულის უკმარისობით ჰოსპიტალიზაციის გაზრდილი რისკის გამო</a:t>
          </a:r>
          <a:endParaRPr lang="ka-GE" sz="1100" b="1">
            <a:latin typeface="Calibri Light" panose="020F0302020204030204" pitchFamily="34" charset="0"/>
            <a:cs typeface="Calibri" panose="020F0502020204030204" pitchFamily="34" charset="0"/>
          </a:endParaRPr>
        </a:p>
      </xdr:txBody>
    </xdr:sp>
    <xdr:clientData/>
  </xdr:twoCellAnchor>
  <xdr:twoCellAnchor>
    <xdr:from>
      <xdr:col>2</xdr:col>
      <xdr:colOff>628650</xdr:colOff>
      <xdr:row>150</xdr:row>
      <xdr:rowOff>104775</xdr:rowOff>
    </xdr:from>
    <xdr:to>
      <xdr:col>6</xdr:col>
      <xdr:colOff>200025</xdr:colOff>
      <xdr:row>153</xdr:row>
      <xdr:rowOff>9525</xdr:rowOff>
    </xdr:to>
    <xdr:sp macro="" textlink="">
      <xdr:nvSpPr>
        <xdr:cNvPr id="17" name="TextBox 16">
          <a:extLst>
            <a:ext uri="{FF2B5EF4-FFF2-40B4-BE49-F238E27FC236}">
              <a16:creationId xmlns:a16="http://schemas.microsoft.com/office/drawing/2014/main" id="{00000000-0008-0000-0B00-000011000000}"/>
            </a:ext>
          </a:extLst>
        </xdr:cNvPr>
        <xdr:cNvSpPr txBox="1"/>
      </xdr:nvSpPr>
      <xdr:spPr>
        <a:xfrm>
          <a:off x="2000250" y="28679775"/>
          <a:ext cx="23145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latin typeface="Calibri Light" panose="020F0302020204030204" pitchFamily="34" charset="0"/>
              <a:cs typeface="Calibri" panose="020F0502020204030204" pitchFamily="34" charset="0"/>
            </a:rPr>
            <a:t>პ</a:t>
          </a:r>
          <a:r>
            <a:rPr lang="ka-GE" sz="1100" b="1">
              <a:solidFill>
                <a:schemeClr val="bg1"/>
              </a:solidFill>
              <a:latin typeface="Calibri Light" panose="020F0302020204030204" pitchFamily="34" charset="0"/>
              <a:cs typeface="Calibri" panose="020F0502020204030204" pitchFamily="34" charset="0"/>
            </a:rPr>
            <a:t>იოგლიტაზონი</a:t>
          </a:r>
        </a:p>
        <a:p>
          <a:pPr algn="ctr"/>
          <a:r>
            <a:rPr lang="ka-GE" sz="1100" b="1">
              <a:solidFill>
                <a:schemeClr val="bg1"/>
              </a:solidFill>
              <a:latin typeface="Calibri Light" panose="020F0302020204030204" pitchFamily="34" charset="0"/>
              <a:cs typeface="Calibri" panose="020F0502020204030204" pitchFamily="34" charset="0"/>
            </a:rPr>
            <a:t>კლასი </a:t>
          </a:r>
          <a:r>
            <a:rPr lang="en-US" sz="1100" b="1">
              <a:solidFill>
                <a:schemeClr val="bg1"/>
              </a:solidFill>
              <a:latin typeface="Calibri Light" panose="020F0302020204030204" pitchFamily="34" charset="0"/>
              <a:cs typeface="Calibri" panose="020F0502020204030204" pitchFamily="34" charset="0"/>
            </a:rPr>
            <a:t>III</a:t>
          </a:r>
          <a:endParaRPr lang="ka-GE" sz="1100" b="1">
            <a:solidFill>
              <a:schemeClr val="bg1"/>
            </a:solidFill>
            <a:latin typeface="Calibri Light" panose="020F0302020204030204" pitchFamily="34" charset="0"/>
            <a:cs typeface="Calibri" panose="020F0502020204030204" pitchFamily="34" charset="0"/>
          </a:endParaRPr>
        </a:p>
      </xdr:txBody>
    </xdr:sp>
    <xdr:clientData/>
  </xdr:twoCellAnchor>
  <xdr:twoCellAnchor>
    <xdr:from>
      <xdr:col>8</xdr:col>
      <xdr:colOff>114300</xdr:colOff>
      <xdr:row>150</xdr:row>
      <xdr:rowOff>85725</xdr:rowOff>
    </xdr:from>
    <xdr:to>
      <xdr:col>11</xdr:col>
      <xdr:colOff>371475</xdr:colOff>
      <xdr:row>152</xdr:row>
      <xdr:rowOff>180975</xdr:rowOff>
    </xdr:to>
    <xdr:sp macro="" textlink="">
      <xdr:nvSpPr>
        <xdr:cNvPr id="18" name="TextBox 17">
          <a:extLst>
            <a:ext uri="{FF2B5EF4-FFF2-40B4-BE49-F238E27FC236}">
              <a16:creationId xmlns:a16="http://schemas.microsoft.com/office/drawing/2014/main" id="{00000000-0008-0000-0B00-000012000000}"/>
            </a:ext>
          </a:extLst>
        </xdr:cNvPr>
        <xdr:cNvSpPr txBox="1"/>
      </xdr:nvSpPr>
      <xdr:spPr>
        <a:xfrm>
          <a:off x="5600700" y="28660725"/>
          <a:ext cx="23145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ka-GE" sz="1100" b="1">
              <a:solidFill>
                <a:schemeClr val="bg1"/>
              </a:solidFill>
              <a:latin typeface="Calibri Light" panose="020F0302020204030204" pitchFamily="34" charset="0"/>
              <a:cs typeface="Calibri" panose="020F0502020204030204" pitchFamily="34" charset="0"/>
            </a:rPr>
            <a:t>საქსაგლიპტინი</a:t>
          </a:r>
        </a:p>
        <a:p>
          <a:pPr algn="ctr"/>
          <a:r>
            <a:rPr lang="ka-GE" sz="1100" b="1">
              <a:solidFill>
                <a:schemeClr val="bg1"/>
              </a:solidFill>
              <a:latin typeface="Calibri Light" panose="020F0302020204030204" pitchFamily="34" charset="0"/>
              <a:cs typeface="Calibri" panose="020F0502020204030204" pitchFamily="34" charset="0"/>
            </a:rPr>
            <a:t>კლასი </a:t>
          </a:r>
          <a:r>
            <a:rPr lang="en-US" sz="1100" b="1">
              <a:solidFill>
                <a:schemeClr val="bg1"/>
              </a:solidFill>
              <a:latin typeface="Calibri Light" panose="020F0302020204030204" pitchFamily="34" charset="0"/>
              <a:cs typeface="Calibri" panose="020F0502020204030204" pitchFamily="34" charset="0"/>
            </a:rPr>
            <a:t>III</a:t>
          </a:r>
          <a:endParaRPr lang="ka-GE" sz="1100" b="1">
            <a:solidFill>
              <a:schemeClr val="bg1"/>
            </a:solidFill>
            <a:latin typeface="Calibri Light" panose="020F0302020204030204" pitchFamily="34" charset="0"/>
            <a:cs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3</xdr:row>
          <xdr:rowOff>0</xdr:rowOff>
        </xdr:from>
        <xdr:to>
          <xdr:col>10</xdr:col>
          <xdr:colOff>203200</xdr:colOff>
          <xdr:row>4</xdr:row>
          <xdr:rowOff>69850</xdr:rowOff>
        </xdr:to>
        <xdr:sp macro="" textlink="">
          <xdr:nvSpPr>
            <xdr:cNvPr id="25601" name="Drop Down 1" hidden="1">
              <a:extLst>
                <a:ext uri="{63B3BB69-23CF-44E3-9099-C40C66FF867C}">
                  <a14:compatExt spid="_x0000_s25601"/>
                </a:ext>
                <a:ext uri="{FF2B5EF4-FFF2-40B4-BE49-F238E27FC236}">
                  <a16:creationId xmlns:a16="http://schemas.microsoft.com/office/drawing/2014/main" id="{00000000-0008-0000-0C00-0000016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5</xdr:row>
          <xdr:rowOff>0</xdr:rowOff>
        </xdr:from>
        <xdr:to>
          <xdr:col>1</xdr:col>
          <xdr:colOff>342900</xdr:colOff>
          <xdr:row>6</xdr:row>
          <xdr:rowOff>31750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D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412750</xdr:colOff>
          <xdr:row>5</xdr:row>
          <xdr:rowOff>12700</xdr:rowOff>
        </xdr:from>
        <xdr:to>
          <xdr:col>2</xdr:col>
          <xdr:colOff>431800</xdr:colOff>
          <xdr:row>6</xdr:row>
          <xdr:rowOff>31750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7</xdr:row>
          <xdr:rowOff>0</xdr:rowOff>
        </xdr:from>
        <xdr:to>
          <xdr:col>5</xdr:col>
          <xdr:colOff>241300</xdr:colOff>
          <xdr:row>8</xdr:row>
          <xdr:rowOff>38100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D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8</xdr:row>
          <xdr:rowOff>171450</xdr:rowOff>
        </xdr:from>
        <xdr:to>
          <xdr:col>3</xdr:col>
          <xdr:colOff>355600</xdr:colOff>
          <xdr:row>10</xdr:row>
          <xdr:rowOff>19050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11</xdr:row>
          <xdr:rowOff>0</xdr:rowOff>
        </xdr:from>
        <xdr:to>
          <xdr:col>7</xdr:col>
          <xdr:colOff>527050</xdr:colOff>
          <xdr:row>12</xdr:row>
          <xdr:rowOff>38100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13</xdr:row>
          <xdr:rowOff>0</xdr:rowOff>
        </xdr:from>
        <xdr:to>
          <xdr:col>12</xdr:col>
          <xdr:colOff>412750</xdr:colOff>
          <xdr:row>15</xdr:row>
          <xdr:rowOff>19050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xdr:row>
          <xdr:rowOff>0</xdr:rowOff>
        </xdr:from>
        <xdr:to>
          <xdr:col>4</xdr:col>
          <xdr:colOff>114300</xdr:colOff>
          <xdr:row>17</xdr:row>
          <xdr:rowOff>19050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35</xdr:row>
          <xdr:rowOff>184150</xdr:rowOff>
        </xdr:from>
        <xdr:to>
          <xdr:col>4</xdr:col>
          <xdr:colOff>57150</xdr:colOff>
          <xdr:row>37</xdr:row>
          <xdr:rowOff>12700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38</xdr:row>
          <xdr:rowOff>12700</xdr:rowOff>
        </xdr:from>
        <xdr:to>
          <xdr:col>11</xdr:col>
          <xdr:colOff>152400</xdr:colOff>
          <xdr:row>39</xdr:row>
          <xdr:rowOff>38100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355600</xdr:colOff>
          <xdr:row>40</xdr:row>
          <xdr:rowOff>12700</xdr:rowOff>
        </xdr:from>
        <xdr:to>
          <xdr:col>14</xdr:col>
          <xdr:colOff>431800</xdr:colOff>
          <xdr:row>41</xdr:row>
          <xdr:rowOff>38100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42</xdr:row>
          <xdr:rowOff>12700</xdr:rowOff>
        </xdr:from>
        <xdr:to>
          <xdr:col>4</xdr:col>
          <xdr:colOff>57150</xdr:colOff>
          <xdr:row>43</xdr:row>
          <xdr:rowOff>31750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44</xdr:row>
          <xdr:rowOff>12700</xdr:rowOff>
        </xdr:from>
        <xdr:to>
          <xdr:col>8</xdr:col>
          <xdr:colOff>107950</xdr:colOff>
          <xdr:row>45</xdr:row>
          <xdr:rowOff>12700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D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46</xdr:row>
          <xdr:rowOff>12700</xdr:rowOff>
        </xdr:from>
        <xdr:to>
          <xdr:col>10</xdr:col>
          <xdr:colOff>0</xdr:colOff>
          <xdr:row>47</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D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48</xdr:row>
          <xdr:rowOff>12700</xdr:rowOff>
        </xdr:from>
        <xdr:to>
          <xdr:col>4</xdr:col>
          <xdr:colOff>57150</xdr:colOff>
          <xdr:row>49</xdr:row>
          <xdr:rowOff>31750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D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50</xdr:row>
          <xdr:rowOff>12700</xdr:rowOff>
        </xdr:from>
        <xdr:to>
          <xdr:col>8</xdr:col>
          <xdr:colOff>107950</xdr:colOff>
          <xdr:row>51</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D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52</xdr:row>
          <xdr:rowOff>12700</xdr:rowOff>
        </xdr:from>
        <xdr:to>
          <xdr:col>8</xdr:col>
          <xdr:colOff>107950</xdr:colOff>
          <xdr:row>53</xdr:row>
          <xdr:rowOff>12700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D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17</xdr:row>
          <xdr:rowOff>19050</xdr:rowOff>
        </xdr:from>
        <xdr:to>
          <xdr:col>4</xdr:col>
          <xdr:colOff>361950</xdr:colOff>
          <xdr:row>18</xdr:row>
          <xdr:rowOff>31750</xdr:rowOff>
        </xdr:to>
        <xdr:sp macro="" textlink="">
          <xdr:nvSpPr>
            <xdr:cNvPr id="29697" name="Option Button 1" hidden="1">
              <a:extLst>
                <a:ext uri="{63B3BB69-23CF-44E3-9099-C40C66FF867C}">
                  <a14:compatExt spid="_x0000_s29697"/>
                </a:ext>
                <a:ext uri="{FF2B5EF4-FFF2-40B4-BE49-F238E27FC236}">
                  <a16:creationId xmlns:a16="http://schemas.microsoft.com/office/drawing/2014/main" id="{00000000-0008-0000-0E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17</xdr:row>
          <xdr:rowOff>19050</xdr:rowOff>
        </xdr:from>
        <xdr:to>
          <xdr:col>5</xdr:col>
          <xdr:colOff>361950</xdr:colOff>
          <xdr:row>18</xdr:row>
          <xdr:rowOff>31750</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E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171450</xdr:colOff>
      <xdr:row>33</xdr:row>
      <xdr:rowOff>107950</xdr:rowOff>
    </xdr:from>
    <xdr:to>
      <xdr:col>12</xdr:col>
      <xdr:colOff>0</xdr:colOff>
      <xdr:row>71</xdr:row>
      <xdr:rowOff>181610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6197600"/>
          <a:ext cx="6743700" cy="7071360"/>
        </a:xfrm>
        <a:prstGeom prst="rect">
          <a:avLst/>
        </a:prstGeom>
      </xdr:spPr>
    </xdr:pic>
    <xdr:clientData/>
  </xdr:twoCellAnchor>
  <xdr:oneCellAnchor>
    <xdr:from>
      <xdr:col>1</xdr:col>
      <xdr:colOff>393700</xdr:colOff>
      <xdr:row>34</xdr:row>
      <xdr:rowOff>12700</xdr:rowOff>
    </xdr:from>
    <xdr:ext cx="2950744" cy="256737"/>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022350" y="6286500"/>
          <a:ext cx="2950744"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კარდიოვასკულური</a:t>
          </a:r>
          <a:r>
            <a:rPr lang="ka-GE" sz="1050" b="1" baseline="0">
              <a:latin typeface="Calibri" panose="020F0502020204030204" pitchFamily="34" charset="0"/>
              <a:ea typeface="Calibri" panose="020F0502020204030204" pitchFamily="34" charset="0"/>
              <a:cs typeface="Calibri" panose="020F0502020204030204" pitchFamily="34" charset="0"/>
            </a:rPr>
            <a:t> რისკის შემცირებისთვის</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6</xdr:col>
      <xdr:colOff>365357</xdr:colOff>
      <xdr:row>34</xdr:row>
      <xdr:rowOff>16611</xdr:rowOff>
    </xdr:from>
    <xdr:ext cx="3260829" cy="256737"/>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4137257" y="6290411"/>
          <a:ext cx="3260829"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თირკმლის უკმარისობის</a:t>
          </a:r>
          <a:r>
            <a:rPr lang="ka-GE" sz="1050" b="1" baseline="0">
              <a:latin typeface="Calibri" panose="020F0502020204030204" pitchFamily="34" charset="0"/>
              <a:ea typeface="Calibri" panose="020F0502020204030204" pitchFamily="34" charset="0"/>
              <a:cs typeface="Calibri" panose="020F0502020204030204" pitchFamily="34" charset="0"/>
            </a:rPr>
            <a:t> რისკის შემცირებისთვის</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2</xdr:col>
      <xdr:colOff>170765</xdr:colOff>
      <xdr:row>38</xdr:row>
      <xdr:rowOff>51148</xdr:rowOff>
    </xdr:from>
    <xdr:ext cx="2266326" cy="421141"/>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1428065" y="7061548"/>
          <a:ext cx="2266326"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სტატინზე დაფუძნებული რეჟიმი</a:t>
          </a:r>
        </a:p>
        <a:p>
          <a:pPr algn="ctr"/>
          <a:r>
            <a:rPr lang="ka-GE" sz="1050" b="1">
              <a:latin typeface="Calibri" panose="020F0502020204030204" pitchFamily="34" charset="0"/>
              <a:ea typeface="Calibri" panose="020F0502020204030204" pitchFamily="34" charset="0"/>
              <a:cs typeface="Calibri" panose="020F0502020204030204" pitchFamily="34" charset="0"/>
            </a:rPr>
            <a:t>კლასი</a:t>
          </a:r>
          <a:r>
            <a:rPr lang="en-US" sz="1050" b="1">
              <a:latin typeface="Calibri" panose="020F0502020204030204" pitchFamily="34" charset="0"/>
              <a:ea typeface="Calibri" panose="020F0502020204030204" pitchFamily="34" charset="0"/>
              <a:cs typeface="Calibri" panose="020F0502020204030204" pitchFamily="34" charset="0"/>
            </a:rPr>
            <a:t> I</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7</xdr:col>
      <xdr:colOff>257676</xdr:colOff>
      <xdr:row>38</xdr:row>
      <xdr:rowOff>32098</xdr:rowOff>
    </xdr:from>
    <xdr:ext cx="2232214" cy="421141"/>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4658226" y="7042498"/>
          <a:ext cx="2232214"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აგფ</a:t>
          </a:r>
          <a:r>
            <a:rPr lang="ka-GE" sz="1050" b="1" baseline="0">
              <a:latin typeface="Calibri" panose="020F0502020204030204" pitchFamily="34" charset="0"/>
              <a:ea typeface="Calibri" panose="020F0502020204030204" pitchFamily="34" charset="0"/>
              <a:cs typeface="Calibri" panose="020F0502020204030204" pitchFamily="34" charset="0"/>
            </a:rPr>
            <a:t> ინჰიბიტორი ან არ ბლოკერი</a:t>
          </a:r>
          <a:endParaRPr lang="ka-GE" sz="1050" b="1">
            <a:latin typeface="Calibri" panose="020F0502020204030204" pitchFamily="34" charset="0"/>
            <a:ea typeface="Calibri" panose="020F0502020204030204" pitchFamily="34" charset="0"/>
            <a:cs typeface="Calibri" panose="020F0502020204030204" pitchFamily="34" charset="0"/>
          </a:endParaRPr>
        </a:p>
        <a:p>
          <a:pPr algn="ctr"/>
          <a:r>
            <a:rPr lang="ka-GE" sz="1050" b="1">
              <a:latin typeface="Calibri" panose="020F0502020204030204" pitchFamily="34" charset="0"/>
              <a:ea typeface="Calibri" panose="020F0502020204030204" pitchFamily="34" charset="0"/>
              <a:cs typeface="Calibri" panose="020F0502020204030204" pitchFamily="34" charset="0"/>
            </a:rPr>
            <a:t>კლასი</a:t>
          </a:r>
          <a:r>
            <a:rPr lang="en-US" sz="1050" b="1">
              <a:latin typeface="Calibri" panose="020F0502020204030204" pitchFamily="34" charset="0"/>
              <a:ea typeface="Calibri" panose="020F0502020204030204" pitchFamily="34" charset="0"/>
              <a:cs typeface="Calibri" panose="020F0502020204030204" pitchFamily="34" charset="0"/>
            </a:rPr>
            <a:t> I</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2</xdr:col>
      <xdr:colOff>476471</xdr:colOff>
      <xdr:row>43</xdr:row>
      <xdr:rowOff>38100</xdr:rowOff>
    </xdr:from>
    <xdr:ext cx="4829912" cy="256737"/>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1733771" y="7969250"/>
          <a:ext cx="482991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კარდიოვასკულური</a:t>
          </a:r>
          <a:r>
            <a:rPr lang="ka-GE" sz="1050" b="1" baseline="0">
              <a:latin typeface="Calibri" panose="020F0502020204030204" pitchFamily="34" charset="0"/>
              <a:ea typeface="Calibri" panose="020F0502020204030204" pitchFamily="34" charset="0"/>
              <a:cs typeface="Calibri" panose="020F0502020204030204" pitchFamily="34" charset="0"/>
            </a:rPr>
            <a:t> და თირკმლების უკმარისობისრისკის შემცირებისთვის</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2</xdr:col>
      <xdr:colOff>138351</xdr:colOff>
      <xdr:row>47</xdr:row>
      <xdr:rowOff>70198</xdr:rowOff>
    </xdr:from>
    <xdr:ext cx="1340560" cy="421141"/>
    <xdr:sp macro="" textlink="">
      <xdr:nvSpPr>
        <xdr:cNvPr id="11" name="TextBox 10">
          <a:extLst>
            <a:ext uri="{FF2B5EF4-FFF2-40B4-BE49-F238E27FC236}">
              <a16:creationId xmlns:a16="http://schemas.microsoft.com/office/drawing/2014/main" id="{00000000-0008-0000-0E00-00000B000000}"/>
            </a:ext>
          </a:extLst>
        </xdr:cNvPr>
        <xdr:cNvSpPr txBox="1"/>
      </xdr:nvSpPr>
      <xdr:spPr>
        <a:xfrm>
          <a:off x="1395651" y="8737948"/>
          <a:ext cx="134056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050" b="1">
              <a:latin typeface="Calibri" panose="020F0502020204030204" pitchFamily="34" charset="0"/>
              <a:ea typeface="Calibri" panose="020F0502020204030204" pitchFamily="34" charset="0"/>
              <a:cs typeface="Calibri" panose="020F0502020204030204" pitchFamily="34" charset="0"/>
            </a:rPr>
            <a:t>SGLT2</a:t>
          </a:r>
          <a:r>
            <a:rPr lang="en-US" sz="1050" b="1" baseline="0">
              <a:latin typeface="Calibri" panose="020F0502020204030204" pitchFamily="34" charset="0"/>
              <a:ea typeface="Calibri" panose="020F0502020204030204" pitchFamily="34" charset="0"/>
              <a:cs typeface="Calibri" panose="020F0502020204030204" pitchFamily="34" charset="0"/>
            </a:rPr>
            <a:t> </a:t>
          </a:r>
          <a:r>
            <a:rPr lang="ka-GE" sz="1050" b="1" baseline="0">
              <a:latin typeface="Calibri" panose="020F0502020204030204" pitchFamily="34" charset="0"/>
              <a:ea typeface="Calibri" panose="020F0502020204030204" pitchFamily="34" charset="0"/>
              <a:cs typeface="Calibri" panose="020F0502020204030204" pitchFamily="34" charset="0"/>
            </a:rPr>
            <a:t>ინჰიბიტორი</a:t>
          </a:r>
          <a:endParaRPr lang="ka-GE" sz="1050" b="1">
            <a:latin typeface="Calibri" panose="020F0502020204030204" pitchFamily="34" charset="0"/>
            <a:ea typeface="Calibri" panose="020F0502020204030204" pitchFamily="34" charset="0"/>
            <a:cs typeface="Calibri" panose="020F0502020204030204" pitchFamily="34" charset="0"/>
          </a:endParaRPr>
        </a:p>
        <a:p>
          <a:pPr algn="ctr"/>
          <a:r>
            <a:rPr lang="ka-GE" sz="1050" b="1">
              <a:latin typeface="Calibri" panose="020F0502020204030204" pitchFamily="34" charset="0"/>
              <a:ea typeface="Calibri" panose="020F0502020204030204" pitchFamily="34" charset="0"/>
              <a:cs typeface="Calibri" panose="020F0502020204030204" pitchFamily="34" charset="0"/>
            </a:rPr>
            <a:t>კლასი</a:t>
          </a:r>
          <a:r>
            <a:rPr lang="en-US" sz="1050" b="1">
              <a:latin typeface="Calibri" panose="020F0502020204030204" pitchFamily="34" charset="0"/>
              <a:ea typeface="Calibri" panose="020F0502020204030204" pitchFamily="34" charset="0"/>
              <a:cs typeface="Calibri" panose="020F0502020204030204" pitchFamily="34" charset="0"/>
            </a:rPr>
            <a:t> I</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5</xdr:col>
      <xdr:colOff>342294</xdr:colOff>
      <xdr:row>47</xdr:row>
      <xdr:rowOff>63848</xdr:rowOff>
    </xdr:from>
    <xdr:ext cx="1351780" cy="421141"/>
    <xdr:sp macro="" textlink="">
      <xdr:nvSpPr>
        <xdr:cNvPr id="12" name="TextBox 11">
          <a:extLst>
            <a:ext uri="{FF2B5EF4-FFF2-40B4-BE49-F238E27FC236}">
              <a16:creationId xmlns:a16="http://schemas.microsoft.com/office/drawing/2014/main" id="{00000000-0008-0000-0E00-00000C000000}"/>
            </a:ext>
          </a:extLst>
        </xdr:cNvPr>
        <xdr:cNvSpPr txBox="1"/>
      </xdr:nvSpPr>
      <xdr:spPr>
        <a:xfrm>
          <a:off x="3485544" y="8731598"/>
          <a:ext cx="1351780"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წნევის კონტროლი</a:t>
          </a:r>
        </a:p>
        <a:p>
          <a:pPr algn="ctr"/>
          <a:r>
            <a:rPr lang="ka-GE" sz="1050" b="1">
              <a:latin typeface="Calibri" panose="020F0502020204030204" pitchFamily="34" charset="0"/>
              <a:ea typeface="Calibri" panose="020F0502020204030204" pitchFamily="34" charset="0"/>
              <a:cs typeface="Calibri" panose="020F0502020204030204" pitchFamily="34" charset="0"/>
            </a:rPr>
            <a:t>კლასი</a:t>
          </a:r>
          <a:r>
            <a:rPr lang="en-US" sz="1050" b="1">
              <a:latin typeface="Calibri" panose="020F0502020204030204" pitchFamily="34" charset="0"/>
              <a:ea typeface="Calibri" panose="020F0502020204030204" pitchFamily="34" charset="0"/>
              <a:cs typeface="Calibri" panose="020F0502020204030204" pitchFamily="34" charset="0"/>
            </a:rPr>
            <a:t> I</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9</xdr:col>
      <xdr:colOff>100931</xdr:colOff>
      <xdr:row>47</xdr:row>
      <xdr:rowOff>70198</xdr:rowOff>
    </xdr:from>
    <xdr:ext cx="970908" cy="421141"/>
    <xdr:sp macro="" textlink="">
      <xdr:nvSpPr>
        <xdr:cNvPr id="13" name="TextBox 12">
          <a:extLst>
            <a:ext uri="{FF2B5EF4-FFF2-40B4-BE49-F238E27FC236}">
              <a16:creationId xmlns:a16="http://schemas.microsoft.com/office/drawing/2014/main" id="{00000000-0008-0000-0E00-00000D000000}"/>
            </a:ext>
          </a:extLst>
        </xdr:cNvPr>
        <xdr:cNvSpPr txBox="1"/>
      </xdr:nvSpPr>
      <xdr:spPr>
        <a:xfrm>
          <a:off x="5758781" y="8737948"/>
          <a:ext cx="970908" cy="421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ფინერენონი</a:t>
          </a:r>
        </a:p>
        <a:p>
          <a:pPr algn="ctr"/>
          <a:r>
            <a:rPr lang="ka-GE" sz="1050" b="1">
              <a:latin typeface="Calibri" panose="020F0502020204030204" pitchFamily="34" charset="0"/>
              <a:ea typeface="Calibri" panose="020F0502020204030204" pitchFamily="34" charset="0"/>
              <a:cs typeface="Calibri" panose="020F0502020204030204" pitchFamily="34" charset="0"/>
            </a:rPr>
            <a:t>კლასი</a:t>
          </a:r>
          <a:r>
            <a:rPr lang="en-US" sz="1050" b="1">
              <a:latin typeface="Calibri" panose="020F0502020204030204" pitchFamily="34" charset="0"/>
              <a:ea typeface="Calibri" panose="020F0502020204030204" pitchFamily="34" charset="0"/>
              <a:cs typeface="Calibri" panose="020F0502020204030204" pitchFamily="34" charset="0"/>
            </a:rPr>
            <a:t> I</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224717</xdr:colOff>
      <xdr:row>54</xdr:row>
      <xdr:rowOff>152052</xdr:rowOff>
    </xdr:from>
    <xdr:ext cx="2832763" cy="256737"/>
    <xdr:sp macro="" textlink="">
      <xdr:nvSpPr>
        <xdr:cNvPr id="14" name="TextBox 13">
          <a:extLst>
            <a:ext uri="{FF2B5EF4-FFF2-40B4-BE49-F238E27FC236}">
              <a16:creationId xmlns:a16="http://schemas.microsoft.com/office/drawing/2014/main" id="{00000000-0008-0000-0E00-00000E000000}"/>
            </a:ext>
          </a:extLst>
        </xdr:cNvPr>
        <xdr:cNvSpPr txBox="1"/>
      </xdr:nvSpPr>
      <xdr:spPr>
        <a:xfrm>
          <a:off x="2739317" y="10108852"/>
          <a:ext cx="2832763"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1">
              <a:latin typeface="Calibri" panose="020F0502020204030204" pitchFamily="34" charset="0"/>
              <a:ea typeface="Calibri" panose="020F0502020204030204" pitchFamily="34" charset="0"/>
              <a:cs typeface="Calibri" panose="020F0502020204030204" pitchFamily="34" charset="0"/>
            </a:rPr>
            <a:t>გლუკოზის დამატებითი კონტროლისთვის</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3</xdr:col>
      <xdr:colOff>9334</xdr:colOff>
      <xdr:row>57</xdr:row>
      <xdr:rowOff>120302</xdr:rowOff>
    </xdr:from>
    <xdr:ext cx="4508157" cy="256737"/>
    <xdr:sp macro="" textlink="">
      <xdr:nvSpPr>
        <xdr:cNvPr id="15" name="TextBox 14">
          <a:extLst>
            <a:ext uri="{FF2B5EF4-FFF2-40B4-BE49-F238E27FC236}">
              <a16:creationId xmlns:a16="http://schemas.microsoft.com/office/drawing/2014/main" id="{00000000-0008-0000-0E00-00000F000000}"/>
            </a:ext>
          </a:extLst>
        </xdr:cNvPr>
        <xdr:cNvSpPr txBox="1"/>
      </xdr:nvSpPr>
      <xdr:spPr>
        <a:xfrm>
          <a:off x="1895284" y="10629552"/>
          <a:ext cx="4508157"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0">
              <a:latin typeface="Calibri" panose="020F0502020204030204" pitchFamily="34" charset="0"/>
              <a:ea typeface="Calibri" panose="020F0502020204030204" pitchFamily="34" charset="0"/>
              <a:cs typeface="Calibri" panose="020F0502020204030204" pitchFamily="34" charset="0"/>
            </a:rPr>
            <a:t>კარდიოვასკულური სარგებლის მქონე ჰიპოგლიკემიური</a:t>
          </a:r>
          <a:r>
            <a:rPr lang="ka-GE" sz="1050" b="0" baseline="0">
              <a:latin typeface="Calibri" panose="020F0502020204030204" pitchFamily="34" charset="0"/>
              <a:ea typeface="Calibri" panose="020F0502020204030204" pitchFamily="34" charset="0"/>
              <a:cs typeface="Calibri" panose="020F0502020204030204" pitchFamily="34" charset="0"/>
            </a:rPr>
            <a:t> მედიკამენტები</a:t>
          </a:r>
          <a:r>
            <a:rPr lang="ka-GE" sz="1050" b="0">
              <a:latin typeface="Calibri" panose="020F0502020204030204" pitchFamily="34" charset="0"/>
              <a:ea typeface="Calibri" panose="020F0502020204030204" pitchFamily="34" charset="0"/>
              <a:cs typeface="Calibri" panose="020F0502020204030204" pitchFamily="34" charset="0"/>
            </a:rPr>
            <a:t> </a:t>
          </a:r>
          <a:endParaRPr lang="ru-RU" sz="1050" b="0">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522941</xdr:colOff>
      <xdr:row>59</xdr:row>
      <xdr:rowOff>158750</xdr:rowOff>
    </xdr:from>
    <xdr:ext cx="2235099" cy="256737"/>
    <xdr:sp macro="" textlink="">
      <xdr:nvSpPr>
        <xdr:cNvPr id="16" name="TextBox 15">
          <a:extLst>
            <a:ext uri="{FF2B5EF4-FFF2-40B4-BE49-F238E27FC236}">
              <a16:creationId xmlns:a16="http://schemas.microsoft.com/office/drawing/2014/main" id="{00000000-0008-0000-0E00-000010000000}"/>
            </a:ext>
          </a:extLst>
        </xdr:cNvPr>
        <xdr:cNvSpPr txBox="1"/>
      </xdr:nvSpPr>
      <xdr:spPr>
        <a:xfrm>
          <a:off x="3037541" y="11036300"/>
          <a:ext cx="2235099"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050" b="1">
              <a:latin typeface="Calibri" panose="020F0502020204030204" pitchFamily="34" charset="0"/>
              <a:ea typeface="Calibri" panose="020F0502020204030204" pitchFamily="34" charset="0"/>
              <a:cs typeface="Calibri" panose="020F0502020204030204" pitchFamily="34" charset="0"/>
            </a:rPr>
            <a:t>GLP-1 </a:t>
          </a:r>
          <a:r>
            <a:rPr lang="ka-GE" sz="1050" b="1">
              <a:latin typeface="Calibri" panose="020F0502020204030204" pitchFamily="34" charset="0"/>
              <a:ea typeface="Calibri" panose="020F0502020204030204" pitchFamily="34" charset="0"/>
              <a:cs typeface="Calibri" panose="020F0502020204030204" pitchFamily="34" charset="0"/>
            </a:rPr>
            <a:t>რეცეპტორის ანტაგონისტი</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2</xdr:col>
      <xdr:colOff>50431</xdr:colOff>
      <xdr:row>64</xdr:row>
      <xdr:rowOff>101252</xdr:rowOff>
    </xdr:from>
    <xdr:ext cx="5683287" cy="256737"/>
    <xdr:sp macro="" textlink="">
      <xdr:nvSpPr>
        <xdr:cNvPr id="17" name="TextBox 16">
          <a:extLst>
            <a:ext uri="{FF2B5EF4-FFF2-40B4-BE49-F238E27FC236}">
              <a16:creationId xmlns:a16="http://schemas.microsoft.com/office/drawing/2014/main" id="{00000000-0008-0000-0E00-000011000000}"/>
            </a:ext>
          </a:extLst>
        </xdr:cNvPr>
        <xdr:cNvSpPr txBox="1"/>
      </xdr:nvSpPr>
      <xdr:spPr>
        <a:xfrm>
          <a:off x="1307731" y="11899552"/>
          <a:ext cx="5683287"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ka-GE" sz="1050" b="0">
              <a:latin typeface="Calibri" panose="020F0502020204030204" pitchFamily="34" charset="0"/>
              <a:ea typeface="Calibri" panose="020F0502020204030204" pitchFamily="34" charset="0"/>
              <a:cs typeface="Calibri" panose="020F0502020204030204" pitchFamily="34" charset="0"/>
            </a:rPr>
            <a:t>ჰიპოგლიკემიური</a:t>
          </a:r>
          <a:r>
            <a:rPr lang="ka-GE" sz="1050" b="0" baseline="0">
              <a:latin typeface="Calibri" panose="020F0502020204030204" pitchFamily="34" charset="0"/>
              <a:ea typeface="Calibri" panose="020F0502020204030204" pitchFamily="34" charset="0"/>
              <a:cs typeface="Calibri" panose="020F0502020204030204" pitchFamily="34" charset="0"/>
            </a:rPr>
            <a:t> მედიკამენტები ნეიტრალური ან დადებითი კარდიოვასკულური ეფექტით</a:t>
          </a:r>
          <a:r>
            <a:rPr lang="ka-GE" sz="1050" b="0">
              <a:latin typeface="Calibri" panose="020F0502020204030204" pitchFamily="34" charset="0"/>
              <a:ea typeface="Calibri" panose="020F0502020204030204" pitchFamily="34" charset="0"/>
              <a:cs typeface="Calibri" panose="020F0502020204030204" pitchFamily="34" charset="0"/>
            </a:rPr>
            <a:t> </a:t>
          </a:r>
          <a:endParaRPr lang="ru-RU" sz="1050" b="0">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4</xdr:col>
      <xdr:colOff>297331</xdr:colOff>
      <xdr:row>66</xdr:row>
      <xdr:rowOff>101600</xdr:rowOff>
    </xdr:from>
    <xdr:ext cx="2783454" cy="256737"/>
    <xdr:sp macro="" textlink="">
      <xdr:nvSpPr>
        <xdr:cNvPr id="18" name="TextBox 17">
          <a:extLst>
            <a:ext uri="{FF2B5EF4-FFF2-40B4-BE49-F238E27FC236}">
              <a16:creationId xmlns:a16="http://schemas.microsoft.com/office/drawing/2014/main" id="{00000000-0008-0000-0E00-000012000000}"/>
            </a:ext>
          </a:extLst>
        </xdr:cNvPr>
        <xdr:cNvSpPr txBox="1"/>
      </xdr:nvSpPr>
      <xdr:spPr>
        <a:xfrm>
          <a:off x="2811931" y="12268200"/>
          <a:ext cx="2783454"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050" b="1">
              <a:latin typeface="Calibri" panose="020F0502020204030204" pitchFamily="34" charset="0"/>
              <a:ea typeface="Calibri" panose="020F0502020204030204" pitchFamily="34" charset="0"/>
              <a:cs typeface="Calibri" panose="020F0502020204030204" pitchFamily="34" charset="0"/>
            </a:rPr>
            <a:t>მ</a:t>
          </a:r>
          <a:r>
            <a:rPr lang="ka-GE" sz="1050" b="1">
              <a:latin typeface="Calibri" panose="020F0502020204030204" pitchFamily="34" charset="0"/>
              <a:ea typeface="Calibri" panose="020F0502020204030204" pitchFamily="34" charset="0"/>
              <a:cs typeface="Calibri" panose="020F0502020204030204" pitchFamily="34" charset="0"/>
            </a:rPr>
            <a:t>ეტფორმინი (თუ </a:t>
          </a:r>
          <a:r>
            <a:rPr lang="en-US" sz="1050" b="1">
              <a:latin typeface="Calibri" panose="020F0502020204030204" pitchFamily="34" charset="0"/>
              <a:ea typeface="Calibri" panose="020F0502020204030204" pitchFamily="34" charset="0"/>
              <a:cs typeface="Calibri" panose="020F0502020204030204" pitchFamily="34" charset="0"/>
            </a:rPr>
            <a:t>eGFR&gt;30 </a:t>
          </a:r>
          <a:r>
            <a:rPr lang="ka-GE" sz="1050" b="1">
              <a:latin typeface="Calibri" panose="020F0502020204030204" pitchFamily="34" charset="0"/>
              <a:ea typeface="Calibri" panose="020F0502020204030204" pitchFamily="34" charset="0"/>
              <a:cs typeface="Calibri" panose="020F0502020204030204" pitchFamily="34" charset="0"/>
            </a:rPr>
            <a:t>მლ/წთ/1.73</a:t>
          </a:r>
          <a:r>
            <a:rPr lang="ka-GE" sz="1050" b="1" baseline="0">
              <a:latin typeface="Calibri" panose="020F0502020204030204" pitchFamily="34" charset="0"/>
              <a:ea typeface="Calibri" panose="020F0502020204030204" pitchFamily="34" charset="0"/>
              <a:cs typeface="Calibri" panose="020F0502020204030204" pitchFamily="34" charset="0"/>
            </a:rPr>
            <a:t> მ2)</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5</xdr:col>
      <xdr:colOff>404627</xdr:colOff>
      <xdr:row>68</xdr:row>
      <xdr:rowOff>6350</xdr:rowOff>
    </xdr:from>
    <xdr:ext cx="1336969" cy="256737"/>
    <xdr:sp macro="" textlink="">
      <xdr:nvSpPr>
        <xdr:cNvPr id="20" name="TextBox 19">
          <a:extLst>
            <a:ext uri="{FF2B5EF4-FFF2-40B4-BE49-F238E27FC236}">
              <a16:creationId xmlns:a16="http://schemas.microsoft.com/office/drawing/2014/main" id="{00000000-0008-0000-0E00-000014000000}"/>
            </a:ext>
          </a:extLst>
        </xdr:cNvPr>
        <xdr:cNvSpPr txBox="1"/>
      </xdr:nvSpPr>
      <xdr:spPr>
        <a:xfrm>
          <a:off x="3547877" y="12541250"/>
          <a:ext cx="1336969"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050" b="1">
              <a:latin typeface="Calibri" panose="020F0502020204030204" pitchFamily="34" charset="0"/>
              <a:ea typeface="Calibri" panose="020F0502020204030204" pitchFamily="34" charset="0"/>
              <a:cs typeface="Calibri" panose="020F0502020204030204" pitchFamily="34" charset="0"/>
            </a:rPr>
            <a:t>DPP-4</a:t>
          </a:r>
          <a:r>
            <a:rPr lang="en-US" sz="1050" b="1" baseline="0">
              <a:latin typeface="Calibri" panose="020F0502020204030204" pitchFamily="34" charset="0"/>
              <a:ea typeface="Calibri" panose="020F0502020204030204" pitchFamily="34" charset="0"/>
              <a:cs typeface="Calibri" panose="020F0502020204030204" pitchFamily="34" charset="0"/>
            </a:rPr>
            <a:t> </a:t>
          </a:r>
          <a:r>
            <a:rPr lang="ka-GE" sz="1050" b="1" baseline="0">
              <a:latin typeface="Calibri" panose="020F0502020204030204" pitchFamily="34" charset="0"/>
              <a:ea typeface="Calibri" panose="020F0502020204030204" pitchFamily="34" charset="0"/>
              <a:cs typeface="Calibri" panose="020F0502020204030204" pitchFamily="34" charset="0"/>
            </a:rPr>
            <a:t>ინჰიბიტორი</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6</xdr:col>
      <xdr:colOff>44936</xdr:colOff>
      <xdr:row>69</xdr:row>
      <xdr:rowOff>101600</xdr:rowOff>
    </xdr:from>
    <xdr:ext cx="824456" cy="256737"/>
    <xdr:sp macro="" textlink="">
      <xdr:nvSpPr>
        <xdr:cNvPr id="21" name="TextBox 20">
          <a:extLst>
            <a:ext uri="{FF2B5EF4-FFF2-40B4-BE49-F238E27FC236}">
              <a16:creationId xmlns:a16="http://schemas.microsoft.com/office/drawing/2014/main" id="{00000000-0008-0000-0E00-000015000000}"/>
            </a:ext>
          </a:extLst>
        </xdr:cNvPr>
        <xdr:cNvSpPr txBox="1"/>
      </xdr:nvSpPr>
      <xdr:spPr>
        <a:xfrm>
          <a:off x="3816836" y="12820650"/>
          <a:ext cx="824456"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n-US" sz="1050" b="1">
              <a:latin typeface="Calibri" panose="020F0502020204030204" pitchFamily="34" charset="0"/>
              <a:ea typeface="Calibri" panose="020F0502020204030204" pitchFamily="34" charset="0"/>
              <a:cs typeface="Calibri" panose="020F0502020204030204" pitchFamily="34" charset="0"/>
            </a:rPr>
            <a:t>ი</a:t>
          </a:r>
          <a:r>
            <a:rPr lang="ka-GE" sz="1050" b="1">
              <a:latin typeface="Calibri" panose="020F0502020204030204" pitchFamily="34" charset="0"/>
              <a:ea typeface="Calibri" panose="020F0502020204030204" pitchFamily="34" charset="0"/>
              <a:cs typeface="Calibri" panose="020F0502020204030204" pitchFamily="34" charset="0"/>
            </a:rPr>
            <a:t>ნსულინი</a:t>
          </a:r>
          <a:endParaRPr lang="ru-RU" sz="1050" b="1">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1</xdr:col>
      <xdr:colOff>260101</xdr:colOff>
      <xdr:row>44</xdr:row>
      <xdr:rowOff>144182</xdr:rowOff>
    </xdr:from>
    <xdr:ext cx="2305299" cy="374077"/>
    <xdr:sp macro="" textlink="">
      <xdr:nvSpPr>
        <xdr:cNvPr id="22" name="TextBox 21">
          <a:extLst>
            <a:ext uri="{FF2B5EF4-FFF2-40B4-BE49-F238E27FC236}">
              <a16:creationId xmlns:a16="http://schemas.microsoft.com/office/drawing/2014/main" id="{00000000-0008-0000-0E00-000016000000}"/>
            </a:ext>
          </a:extLst>
        </xdr:cNvPr>
        <xdr:cNvSpPr txBox="1"/>
      </xdr:nvSpPr>
      <xdr:spPr>
        <a:xfrm>
          <a:off x="888751" y="8259482"/>
          <a:ext cx="2305299"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ka-GE" sz="900" b="0">
              <a:latin typeface="Calibri" panose="020F0502020204030204" pitchFamily="34" charset="0"/>
              <a:ea typeface="Calibri" panose="020F0502020204030204" pitchFamily="34" charset="0"/>
              <a:cs typeface="Calibri" panose="020F0502020204030204" pitchFamily="34" charset="0"/>
            </a:rPr>
            <a:t>კანაგლიფლოზინი, ემპაგლიფლოზინი ან დაპაგლიფლოზინი</a:t>
          </a:r>
          <a:endParaRPr lang="ru-RU" sz="900" b="0">
            <a:latin typeface="Calibri" panose="020F0502020204030204" pitchFamily="34" charset="0"/>
            <a:ea typeface="Calibri" panose="020F0502020204030204" pitchFamily="34" charset="0"/>
            <a:cs typeface="Calibri" panose="020F0502020204030204" pitchFamily="34" charset="0"/>
          </a:endParaRP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501650</xdr:colOff>
          <xdr:row>4</xdr:row>
          <xdr:rowOff>88900</xdr:rowOff>
        </xdr:from>
        <xdr:to>
          <xdr:col>5</xdr:col>
          <xdr:colOff>412750</xdr:colOff>
          <xdr:row>5</xdr:row>
          <xdr:rowOff>133350</xdr:rowOff>
        </xdr:to>
        <xdr:sp macro="" textlink="">
          <xdr:nvSpPr>
            <xdr:cNvPr id="30721" name="Option Button 1" hidden="1">
              <a:extLst>
                <a:ext uri="{63B3BB69-23CF-44E3-9099-C40C66FF867C}">
                  <a14:compatExt spid="_x0000_s30721"/>
                </a:ext>
                <a:ext uri="{FF2B5EF4-FFF2-40B4-BE49-F238E27FC236}">
                  <a16:creationId xmlns:a16="http://schemas.microsoft.com/office/drawing/2014/main" id="{00000000-0008-0000-0F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ru-RU" sz="800" b="0" i="0" u="none" strike="noStrike" baseline="0">
                  <a:solidFill>
                    <a:srgbClr val="000000"/>
                  </a:solidFill>
                  <a:latin typeface="Segoe UI"/>
                  <a:cs typeface="Segoe UI"/>
                </a:rPr>
                <a:t>კი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4</xdr:row>
          <xdr:rowOff>95250</xdr:rowOff>
        </xdr:from>
        <xdr:to>
          <xdr:col>8</xdr:col>
          <xdr:colOff>355600</xdr:colOff>
          <xdr:row>5</xdr:row>
          <xdr:rowOff>139700</xdr:rowOff>
        </xdr:to>
        <xdr:sp macro="" textlink="">
          <xdr:nvSpPr>
            <xdr:cNvPr id="30722" name="Option Button 2" hidden="1">
              <a:extLst>
                <a:ext uri="{63B3BB69-23CF-44E3-9099-C40C66FF867C}">
                  <a14:compatExt spid="_x0000_s30722"/>
                </a:ext>
                <a:ext uri="{FF2B5EF4-FFF2-40B4-BE49-F238E27FC236}">
                  <a16:creationId xmlns:a16="http://schemas.microsoft.com/office/drawing/2014/main" id="{00000000-0008-0000-0F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ru-RU" sz="800" b="0" i="0" u="none" strike="noStrike" baseline="0">
                  <a:solidFill>
                    <a:srgbClr val="000000"/>
                  </a:solidFill>
                  <a:latin typeface="Segoe UI"/>
                  <a:cs typeface="Segoe UI"/>
                </a:rPr>
                <a:t>არა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2</xdr:row>
          <xdr:rowOff>184150</xdr:rowOff>
        </xdr:from>
        <xdr:to>
          <xdr:col>2</xdr:col>
          <xdr:colOff>279400</xdr:colOff>
          <xdr:row>3</xdr:row>
          <xdr:rowOff>190500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660400</xdr:colOff>
          <xdr:row>6</xdr:row>
          <xdr:rowOff>12700</xdr:rowOff>
        </xdr:from>
        <xdr:to>
          <xdr:col>2</xdr:col>
          <xdr:colOff>266700</xdr:colOff>
          <xdr:row>7</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666759</xdr:colOff>
      <xdr:row>2</xdr:row>
      <xdr:rowOff>103187</xdr:rowOff>
    </xdr:from>
    <xdr:to>
      <xdr:col>5</xdr:col>
      <xdr:colOff>83461</xdr:colOff>
      <xdr:row>7</xdr:row>
      <xdr:rowOff>95251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32009" y="484187"/>
          <a:ext cx="1464577" cy="944564"/>
        </a:xfrm>
        <a:prstGeom prst="rect">
          <a:avLst/>
        </a:prstGeom>
      </xdr:spPr>
    </xdr:pic>
    <xdr:clientData/>
  </xdr:twoCellAnchor>
  <xdr:twoCellAnchor editAs="oneCell">
    <xdr:from>
      <xdr:col>6</xdr:col>
      <xdr:colOff>428632</xdr:colOff>
      <xdr:row>2</xdr:row>
      <xdr:rowOff>139208</xdr:rowOff>
    </xdr:from>
    <xdr:to>
      <xdr:col>10</xdr:col>
      <xdr:colOff>603257</xdr:colOff>
      <xdr:row>7</xdr:row>
      <xdr:rowOff>126967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4524382" y="520208"/>
          <a:ext cx="2905125" cy="9402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400050</xdr:colOff>
          <xdr:row>2</xdr:row>
          <xdr:rowOff>152400</xdr:rowOff>
        </xdr:from>
        <xdr:to>
          <xdr:col>5</xdr:col>
          <xdr:colOff>76200</xdr:colOff>
          <xdr:row>7</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357187</xdr:colOff>
      <xdr:row>3</xdr:row>
      <xdr:rowOff>93855</xdr:rowOff>
    </xdr:from>
    <xdr:ext cx="1365250" cy="561885"/>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57187" y="649480"/>
          <a:ext cx="1365250"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ka-GE" sz="1000">
              <a:latin typeface="Calibri" panose="020F0502020204030204" pitchFamily="34" charset="0"/>
              <a:ea typeface="Calibri" panose="020F0502020204030204" pitchFamily="34" charset="0"/>
              <a:cs typeface="Calibri" panose="020F0502020204030204" pitchFamily="34" charset="0"/>
            </a:rPr>
            <a:t>პრეზენტაცია</a:t>
          </a:r>
        </a:p>
        <a:p>
          <a:pPr algn="r"/>
          <a:r>
            <a:rPr lang="ka-GE" sz="1000">
              <a:latin typeface="Calibri" panose="020F0502020204030204" pitchFamily="34" charset="0"/>
              <a:ea typeface="Calibri" panose="020F0502020204030204" pitchFamily="34" charset="0"/>
              <a:cs typeface="Calibri" panose="020F0502020204030204" pitchFamily="34" charset="0"/>
            </a:rPr>
            <a:t>კარდიოვასკულური დაავადებით</a:t>
          </a:r>
        </a:p>
      </xdr:txBody>
    </xdr:sp>
    <xdr:clientData/>
  </xdr:oneCellAnchor>
  <mc:AlternateContent xmlns:mc="http://schemas.openxmlformats.org/markup-compatibility/2006">
    <mc:Choice xmlns:a14="http://schemas.microsoft.com/office/drawing/2010/main" Requires="a14">
      <xdr:twoCellAnchor editAs="oneCell">
        <xdr:from>
          <xdr:col>6</xdr:col>
          <xdr:colOff>76200</xdr:colOff>
          <xdr:row>2</xdr:row>
          <xdr:rowOff>171450</xdr:rowOff>
        </xdr:from>
        <xdr:to>
          <xdr:col>10</xdr:col>
          <xdr:colOff>565150</xdr:colOff>
          <xdr:row>7</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588962</xdr:colOff>
      <xdr:row>3</xdr:row>
      <xdr:rowOff>135129</xdr:rowOff>
    </xdr:from>
    <xdr:ext cx="1365250" cy="561885"/>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886045" y="690754"/>
          <a:ext cx="1365250"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ka-GE" sz="1000">
              <a:latin typeface="Calibri" panose="020F0502020204030204" pitchFamily="34" charset="0"/>
              <a:ea typeface="Calibri" panose="020F0502020204030204" pitchFamily="34" charset="0"/>
              <a:cs typeface="Calibri" panose="020F0502020204030204" pitchFamily="34" charset="0"/>
            </a:rPr>
            <a:t>პრეზენტაცია</a:t>
          </a:r>
        </a:p>
        <a:p>
          <a:pPr algn="l"/>
          <a:r>
            <a:rPr lang="ka-GE" sz="1000">
              <a:latin typeface="Calibri" panose="020F0502020204030204" pitchFamily="34" charset="0"/>
              <a:ea typeface="Calibri" panose="020F0502020204030204" pitchFamily="34" charset="0"/>
              <a:cs typeface="Calibri" panose="020F0502020204030204" pitchFamily="34" charset="0"/>
            </a:rPr>
            <a:t>ტიპი 2 შაქრიანი დიაბეტით</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323850</xdr:colOff>
          <xdr:row>2</xdr:row>
          <xdr:rowOff>152400</xdr:rowOff>
        </xdr:from>
        <xdr:to>
          <xdr:col>8</xdr:col>
          <xdr:colOff>57150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561975</xdr:colOff>
      <xdr:row>4</xdr:row>
      <xdr:rowOff>85725</xdr:rowOff>
    </xdr:from>
    <xdr:to>
      <xdr:col>1</xdr:col>
      <xdr:colOff>561975</xdr:colOff>
      <xdr:row>9</xdr:row>
      <xdr:rowOff>160712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5882"/>
        <a:stretch/>
      </xdr:blipFill>
      <xdr:spPr>
        <a:xfrm>
          <a:off x="561975" y="2371725"/>
          <a:ext cx="685800" cy="1027487"/>
        </a:xfrm>
        <a:prstGeom prst="rect">
          <a:avLst/>
        </a:prstGeom>
      </xdr:spPr>
    </xdr:pic>
    <xdr:clientData/>
  </xdr:twoCellAnchor>
  <xdr:twoCellAnchor editAs="oneCell">
    <xdr:from>
      <xdr:col>2</xdr:col>
      <xdr:colOff>333375</xdr:colOff>
      <xdr:row>4</xdr:row>
      <xdr:rowOff>85725</xdr:rowOff>
    </xdr:from>
    <xdr:to>
      <xdr:col>3</xdr:col>
      <xdr:colOff>333375</xdr:colOff>
      <xdr:row>9</xdr:row>
      <xdr:rowOff>160712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5148" t="-927" r="734" b="927"/>
        <a:stretch/>
      </xdr:blipFill>
      <xdr:spPr>
        <a:xfrm>
          <a:off x="1704975" y="2371725"/>
          <a:ext cx="685800" cy="10274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114300</xdr:colOff>
          <xdr:row>9</xdr:row>
          <xdr:rowOff>152400</xdr:rowOff>
        </xdr:from>
        <xdr:to>
          <xdr:col>2</xdr:col>
          <xdr:colOff>12700</xdr:colOff>
          <xdr:row>11</xdr:row>
          <xdr:rowOff>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ru-RU" sz="800" b="0" i="0" u="none" strike="noStrike" baseline="0">
                  <a:solidFill>
                    <a:srgbClr val="000000"/>
                  </a:solidFill>
                  <a:latin typeface="Sylfaen"/>
                </a:rPr>
                <a:t>ქალი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146050</xdr:rowOff>
        </xdr:from>
        <xdr:to>
          <xdr:col>3</xdr:col>
          <xdr:colOff>476250</xdr:colOff>
          <xdr:row>11</xdr:row>
          <xdr:rowOff>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ru-RU" sz="800" b="0" i="0" u="none" strike="noStrike" baseline="0">
                  <a:solidFill>
                    <a:srgbClr val="000000"/>
                  </a:solidFill>
                  <a:latin typeface="Sylfaen"/>
                </a:rPr>
                <a:t>კაცი</a:t>
              </a:r>
            </a:p>
          </xdr:txBody>
        </xdr:sp>
        <xdr:clientData/>
      </xdr:twoCellAnchor>
    </mc:Choice>
    <mc:Fallback/>
  </mc:AlternateContent>
  <xdr:twoCellAnchor editAs="oneCell">
    <xdr:from>
      <xdr:col>0</xdr:col>
      <xdr:colOff>323850</xdr:colOff>
      <xdr:row>11</xdr:row>
      <xdr:rowOff>66675</xdr:rowOff>
    </xdr:from>
    <xdr:to>
      <xdr:col>2</xdr:col>
      <xdr:colOff>190500</xdr:colOff>
      <xdr:row>17</xdr:row>
      <xdr:rowOff>161925</xdr:rowOff>
    </xdr:to>
    <xdr:pic>
      <xdr:nvPicPr>
        <xdr:cNvPr id="6" name="Picture 5" descr="Free vector pack of cigarettes, gas lighter and ashtray">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0" y="3686175"/>
          <a:ext cx="12382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323850</xdr:colOff>
          <xdr:row>13</xdr:row>
          <xdr:rowOff>165100</xdr:rowOff>
        </xdr:from>
        <xdr:to>
          <xdr:col>2</xdr:col>
          <xdr:colOff>622300</xdr:colOff>
          <xdr:row>15</xdr:row>
          <xdr:rowOff>50800</xdr:rowOff>
        </xdr:to>
        <xdr:sp macro="" textlink="">
          <xdr:nvSpPr>
            <xdr:cNvPr id="4103" name="Yes"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15</xdr:row>
          <xdr:rowOff>171450</xdr:rowOff>
        </xdr:from>
        <xdr:to>
          <xdr:col>3</xdr:col>
          <xdr:colOff>31750</xdr:colOff>
          <xdr:row>17</xdr:row>
          <xdr:rowOff>69850</xdr:rowOff>
        </xdr:to>
        <xdr:sp macro="" textlink="">
          <xdr:nvSpPr>
            <xdr:cNvPr id="4104" name="OptionButton2"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247651</xdr:colOff>
      <xdr:row>13</xdr:row>
      <xdr:rowOff>43370</xdr:rowOff>
    </xdr:from>
    <xdr:to>
      <xdr:col>6</xdr:col>
      <xdr:colOff>342901</xdr:colOff>
      <xdr:row>17</xdr:row>
      <xdr:rowOff>38535</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76651" y="4043870"/>
          <a:ext cx="781050" cy="757165"/>
        </a:xfrm>
        <a:prstGeom prst="rect">
          <a:avLst/>
        </a:prstGeom>
      </xdr:spPr>
    </xdr:pic>
    <xdr:clientData/>
  </xdr:twoCellAnchor>
  <xdr:twoCellAnchor editAs="oneCell">
    <xdr:from>
      <xdr:col>8</xdr:col>
      <xdr:colOff>400051</xdr:colOff>
      <xdr:row>12</xdr:row>
      <xdr:rowOff>165099</xdr:rowOff>
    </xdr:from>
    <xdr:to>
      <xdr:col>9</xdr:col>
      <xdr:colOff>33781</xdr:colOff>
      <xdr:row>17</xdr:row>
      <xdr:rowOff>133350</xdr:rowOff>
    </xdr:to>
    <xdr:pic>
      <xdr:nvPicPr>
        <xdr:cNvPr id="9" name="Picture 8" descr="Free vector blood infographic concept in flat design">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994" t="30456" r="80990" b="5035"/>
        <a:stretch/>
      </xdr:blipFill>
      <xdr:spPr bwMode="auto">
        <a:xfrm>
          <a:off x="5429251" y="3854449"/>
          <a:ext cx="262380" cy="889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485776</xdr:colOff>
      <xdr:row>18</xdr:row>
      <xdr:rowOff>95411</xdr:rowOff>
    </xdr:from>
    <xdr:to>
      <xdr:col>2</xdr:col>
      <xdr:colOff>0</xdr:colOff>
      <xdr:row>21</xdr:row>
      <xdr:rowOff>170893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5776" y="5048411"/>
          <a:ext cx="866774" cy="694607"/>
        </a:xfrm>
        <a:prstGeom prst="rect">
          <a:avLst/>
        </a:prstGeom>
      </xdr:spPr>
    </xdr:pic>
    <xdr:clientData/>
  </xdr:twoCellAnchor>
  <xdr:twoCellAnchor editAs="oneCell">
    <xdr:from>
      <xdr:col>5</xdr:col>
      <xdr:colOff>504825</xdr:colOff>
      <xdr:row>18</xdr:row>
      <xdr:rowOff>133350</xdr:rowOff>
    </xdr:from>
    <xdr:to>
      <xdr:col>6</xdr:col>
      <xdr:colOff>600530</xdr:colOff>
      <xdr:row>22</xdr:row>
      <xdr:rowOff>30933</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33825" y="5086350"/>
          <a:ext cx="781505" cy="707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142876</xdr:colOff>
      <xdr:row>15</xdr:row>
      <xdr:rowOff>41596</xdr:rowOff>
    </xdr:from>
    <xdr:to>
      <xdr:col>2</xdr:col>
      <xdr:colOff>552450</xdr:colOff>
      <xdr:row>24</xdr:row>
      <xdr:rowOff>9951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6" y="2899096"/>
          <a:ext cx="1095374" cy="1682855"/>
        </a:xfrm>
        <a:prstGeom prst="rect">
          <a:avLst/>
        </a:prstGeom>
      </xdr:spPr>
    </xdr:pic>
    <xdr:clientData/>
  </xdr:twoCellAnchor>
  <xdr:twoCellAnchor editAs="oneCell">
    <xdr:from>
      <xdr:col>8</xdr:col>
      <xdr:colOff>514351</xdr:colOff>
      <xdr:row>66</xdr:row>
      <xdr:rowOff>63815</xdr:rowOff>
    </xdr:from>
    <xdr:to>
      <xdr:col>10</xdr:col>
      <xdr:colOff>142449</xdr:colOff>
      <xdr:row>71</xdr:row>
      <xdr:rowOff>171450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6000751" y="12646340"/>
          <a:ext cx="1113998" cy="1060135"/>
        </a:xfrm>
        <a:prstGeom prst="rect">
          <a:avLst/>
        </a:prstGeom>
      </xdr:spPr>
    </xdr:pic>
    <xdr:clientData/>
  </xdr:twoCellAnchor>
  <xdr:twoCellAnchor editAs="oneCell">
    <xdr:from>
      <xdr:col>11</xdr:col>
      <xdr:colOff>485776</xdr:colOff>
      <xdr:row>66</xdr:row>
      <xdr:rowOff>76200</xdr:rowOff>
    </xdr:from>
    <xdr:to>
      <xdr:col>13</xdr:col>
      <xdr:colOff>154239</xdr:colOff>
      <xdr:row>71</xdr:row>
      <xdr:rowOff>161400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8143876" y="12658725"/>
          <a:ext cx="1040063" cy="10377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69</xdr:row>
          <xdr:rowOff>184150</xdr:rowOff>
        </xdr:from>
        <xdr:to>
          <xdr:col>3</xdr:col>
          <xdr:colOff>527050</xdr:colOff>
          <xdr:row>71</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71</xdr:row>
          <xdr:rowOff>184150</xdr:rowOff>
        </xdr:from>
        <xdr:to>
          <xdr:col>4</xdr:col>
          <xdr:colOff>336550</xdr:colOff>
          <xdr:row>73</xdr:row>
          <xdr:rowOff>31750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73</xdr:row>
          <xdr:rowOff>171450</xdr:rowOff>
        </xdr:from>
        <xdr:to>
          <xdr:col>5</xdr:col>
          <xdr:colOff>400050</xdr:colOff>
          <xdr:row>75</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75</xdr:row>
          <xdr:rowOff>184150</xdr:rowOff>
        </xdr:from>
        <xdr:to>
          <xdr:col>6</xdr:col>
          <xdr:colOff>419100</xdr:colOff>
          <xdr:row>78</xdr:row>
          <xdr:rowOff>31750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78</xdr:row>
          <xdr:rowOff>184150</xdr:rowOff>
        </xdr:from>
        <xdr:to>
          <xdr:col>5</xdr:col>
          <xdr:colOff>584200</xdr:colOff>
          <xdr:row>80</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81</xdr:row>
          <xdr:rowOff>0</xdr:rowOff>
        </xdr:from>
        <xdr:to>
          <xdr:col>6</xdr:col>
          <xdr:colOff>279400</xdr:colOff>
          <xdr:row>82</xdr:row>
          <xdr:rowOff>50800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83</xdr:row>
          <xdr:rowOff>0</xdr:rowOff>
        </xdr:from>
        <xdr:to>
          <xdr:col>5</xdr:col>
          <xdr:colOff>0</xdr:colOff>
          <xdr:row>84</xdr:row>
          <xdr:rowOff>50800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85</xdr:row>
          <xdr:rowOff>0</xdr:rowOff>
        </xdr:from>
        <xdr:to>
          <xdr:col>5</xdr:col>
          <xdr:colOff>0</xdr:colOff>
          <xdr:row>86</xdr:row>
          <xdr:rowOff>50800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88</xdr:row>
          <xdr:rowOff>12700</xdr:rowOff>
        </xdr:from>
        <xdr:to>
          <xdr:col>9</xdr:col>
          <xdr:colOff>69850</xdr:colOff>
          <xdr:row>89</xdr:row>
          <xdr:rowOff>12700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89</xdr:row>
          <xdr:rowOff>12700</xdr:rowOff>
        </xdr:from>
        <xdr:to>
          <xdr:col>9</xdr:col>
          <xdr:colOff>69850</xdr:colOff>
          <xdr:row>90</xdr:row>
          <xdr:rowOff>12700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5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374650</xdr:colOff>
          <xdr:row>90</xdr:row>
          <xdr:rowOff>19050</xdr:rowOff>
        </xdr:from>
        <xdr:to>
          <xdr:col>9</xdr:col>
          <xdr:colOff>298450</xdr:colOff>
          <xdr:row>91</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5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93</xdr:row>
          <xdr:rowOff>0</xdr:rowOff>
        </xdr:from>
        <xdr:to>
          <xdr:col>9</xdr:col>
          <xdr:colOff>76200</xdr:colOff>
          <xdr:row>94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5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94</xdr:row>
          <xdr:rowOff>0</xdr:rowOff>
        </xdr:from>
        <xdr:to>
          <xdr:col>9</xdr:col>
          <xdr:colOff>76200</xdr:colOff>
          <xdr:row>95</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95</xdr:row>
          <xdr:rowOff>12700</xdr:rowOff>
        </xdr:from>
        <xdr:to>
          <xdr:col>9</xdr:col>
          <xdr:colOff>304800</xdr:colOff>
          <xdr:row>96</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96</xdr:row>
          <xdr:rowOff>165100</xdr:rowOff>
        </xdr:from>
        <xdr:to>
          <xdr:col>5</xdr:col>
          <xdr:colOff>50800</xdr:colOff>
          <xdr:row>98</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98</xdr:row>
          <xdr:rowOff>165100</xdr:rowOff>
        </xdr:from>
        <xdr:to>
          <xdr:col>7</xdr:col>
          <xdr:colOff>190500</xdr:colOff>
          <xdr:row>100</xdr:row>
          <xdr:rowOff>31750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102</xdr:row>
          <xdr:rowOff>19050</xdr:rowOff>
        </xdr:from>
        <xdr:to>
          <xdr:col>3</xdr:col>
          <xdr:colOff>546100</xdr:colOff>
          <xdr:row>103</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103</xdr:row>
          <xdr:rowOff>19050</xdr:rowOff>
        </xdr:from>
        <xdr:to>
          <xdr:col>3</xdr:col>
          <xdr:colOff>419100</xdr:colOff>
          <xdr:row>104</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104</xdr:row>
          <xdr:rowOff>165100</xdr:rowOff>
        </xdr:from>
        <xdr:to>
          <xdr:col>2</xdr:col>
          <xdr:colOff>203200</xdr:colOff>
          <xdr:row>106</xdr:row>
          <xdr:rowOff>31750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106</xdr:row>
          <xdr:rowOff>184150</xdr:rowOff>
        </xdr:from>
        <xdr:to>
          <xdr:col>2</xdr:col>
          <xdr:colOff>203200</xdr:colOff>
          <xdr:row>108</xdr:row>
          <xdr:rowOff>50800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5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108</xdr:row>
          <xdr:rowOff>171450</xdr:rowOff>
        </xdr:from>
        <xdr:to>
          <xdr:col>2</xdr:col>
          <xdr:colOff>203200</xdr:colOff>
          <xdr:row>110</xdr:row>
          <xdr:rowOff>38100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3</xdr:row>
      <xdr:rowOff>19463</xdr:rowOff>
    </xdr:from>
    <xdr:to>
      <xdr:col>1</xdr:col>
      <xdr:colOff>666750</xdr:colOff>
      <xdr:row>6</xdr:row>
      <xdr:rowOff>154758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590963"/>
          <a:ext cx="781050" cy="7067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127000</xdr:colOff>
          <xdr:row>4</xdr:row>
          <xdr:rowOff>0</xdr:rowOff>
        </xdr:from>
        <xdr:to>
          <xdr:col>12</xdr:col>
          <xdr:colOff>527050</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476251</xdr:colOff>
      <xdr:row>8</xdr:row>
      <xdr:rowOff>61253</xdr:rowOff>
    </xdr:from>
    <xdr:to>
      <xdr:col>2</xdr:col>
      <xdr:colOff>114301</xdr:colOff>
      <xdr:row>14</xdr:row>
      <xdr:rowOff>38012</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1" y="1585253"/>
          <a:ext cx="1009650" cy="111975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146050</xdr:colOff>
          <xdr:row>11</xdr:row>
          <xdr:rowOff>0</xdr:rowOff>
        </xdr:from>
        <xdr:to>
          <xdr:col>4</xdr:col>
          <xdr:colOff>69850</xdr:colOff>
          <xdr:row>12</xdr:row>
          <xdr:rowOff>0</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11</xdr:row>
          <xdr:rowOff>0</xdr:rowOff>
        </xdr:from>
        <xdr:to>
          <xdr:col>9</xdr:col>
          <xdr:colOff>590550</xdr:colOff>
          <xdr:row>12</xdr:row>
          <xdr:rowOff>0</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590551</xdr:colOff>
      <xdr:row>17</xdr:row>
      <xdr:rowOff>95249</xdr:rowOff>
    </xdr:from>
    <xdr:to>
      <xdr:col>1</xdr:col>
      <xdr:colOff>605333</xdr:colOff>
      <xdr:row>23</xdr:row>
      <xdr:rowOff>28574</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0551" y="3333749"/>
          <a:ext cx="700582" cy="1076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2</xdr:row>
      <xdr:rowOff>174354</xdr:rowOff>
    </xdr:from>
    <xdr:to>
      <xdr:col>1</xdr:col>
      <xdr:colOff>609600</xdr:colOff>
      <xdr:row>9</xdr:row>
      <xdr:rowOff>64862</xdr:rowOff>
    </xdr:to>
    <xdr:pic>
      <xdr:nvPicPr>
        <xdr:cNvPr id="2" name="Picture 1" descr="Vector arrow in center of board.">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216" t="12838" r="12838" b="17568"/>
        <a:stretch/>
      </xdr:blipFill>
      <xdr:spPr bwMode="auto">
        <a:xfrm>
          <a:off x="47625" y="555354"/>
          <a:ext cx="1247775" cy="12240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13</xdr:row>
      <xdr:rowOff>104775</xdr:rowOff>
    </xdr:from>
    <xdr:to>
      <xdr:col>1</xdr:col>
      <xdr:colOff>542925</xdr:colOff>
      <xdr:row>19</xdr:row>
      <xdr:rowOff>97521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2581275"/>
          <a:ext cx="1171575" cy="11357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xdr:row>
          <xdr:rowOff>0</xdr:rowOff>
        </xdr:from>
        <xdr:to>
          <xdr:col>6</xdr:col>
          <xdr:colOff>241300</xdr:colOff>
          <xdr:row>3</xdr:row>
          <xdr:rowOff>165100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8</xdr:col>
          <xdr:colOff>76200</xdr:colOff>
          <xdr:row>7</xdr:row>
          <xdr:rowOff>12700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8</xdr:row>
          <xdr:rowOff>12700</xdr:rowOff>
        </xdr:from>
        <xdr:to>
          <xdr:col>8</xdr:col>
          <xdr:colOff>88900</xdr:colOff>
          <xdr:row>9</xdr:row>
          <xdr:rowOff>12700</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3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3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10.v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12.xml"/><Relationship Id="rId16" Type="http://schemas.openxmlformats.org/officeDocument/2006/relationships/ctrlProp" Target="../ctrlProps/ctrlProp49.xml"/><Relationship Id="rId1" Type="http://schemas.openxmlformats.org/officeDocument/2006/relationships/printerSettings" Target="../printerSettings/printerSettings14.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5.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6.bin"/><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diabepi.shinyapps.io/cvdris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image" Target="../media/image7.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xml"/><Relationship Id="rId5" Type="http://schemas.openxmlformats.org/officeDocument/2006/relationships/image" Target="../media/image6.emf"/><Relationship Id="rId10" Type="http://schemas.openxmlformats.org/officeDocument/2006/relationships/ctrlProp" Target="../ctrlProps/ctrlProp7.xml"/><Relationship Id="rId4" Type="http://schemas.openxmlformats.org/officeDocument/2006/relationships/control" Target="../activeX/activeX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4.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5.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6374-A18C-4FCF-AFE4-C5C50173F175}">
  <sheetPr codeName="Sheet2"/>
  <dimension ref="A16:P47"/>
  <sheetViews>
    <sheetView tabSelected="1" zoomScaleNormal="100" workbookViewId="0"/>
  </sheetViews>
  <sheetFormatPr defaultColWidth="9" defaultRowHeight="14.5" x14ac:dyDescent="0.35"/>
  <cols>
    <col min="1" max="16384" width="9" style="2"/>
  </cols>
  <sheetData>
    <row r="16" spans="16:16" x14ac:dyDescent="0.35">
      <c r="P16" s="54"/>
    </row>
    <row r="19" spans="1:16" x14ac:dyDescent="0.35">
      <c r="P19" s="54"/>
    </row>
    <row r="21" spans="1:16" ht="21" x14ac:dyDescent="0.35">
      <c r="A21" s="90" t="s">
        <v>31</v>
      </c>
      <c r="B21" s="90"/>
      <c r="C21" s="90"/>
      <c r="D21" s="90"/>
      <c r="E21" s="90"/>
      <c r="F21" s="90"/>
      <c r="G21" s="90"/>
      <c r="H21" s="90"/>
      <c r="I21" s="90"/>
      <c r="J21" s="90"/>
      <c r="K21" s="90"/>
      <c r="L21" s="90"/>
      <c r="M21" s="90"/>
      <c r="N21" s="90"/>
    </row>
    <row r="22" spans="1:16" ht="15" customHeight="1" x14ac:dyDescent="0.35">
      <c r="A22" s="6"/>
      <c r="B22" s="6"/>
      <c r="C22" s="6"/>
      <c r="D22" s="6"/>
      <c r="E22" s="6"/>
      <c r="F22" s="6"/>
      <c r="G22" s="6"/>
      <c r="H22" s="6"/>
      <c r="I22" s="6"/>
      <c r="J22" s="6"/>
      <c r="K22" s="6"/>
      <c r="L22" s="6"/>
      <c r="M22" s="6"/>
      <c r="N22" s="6"/>
    </row>
    <row r="23" spans="1:16" ht="15" customHeight="1" x14ac:dyDescent="0.35">
      <c r="A23" s="201" t="s">
        <v>601</v>
      </c>
      <c r="B23" s="201"/>
      <c r="C23" s="201"/>
      <c r="D23" s="201"/>
      <c r="E23" s="201"/>
      <c r="F23" s="201"/>
      <c r="G23" s="201"/>
      <c r="H23" s="201"/>
      <c r="I23" s="6"/>
      <c r="J23" s="6"/>
      <c r="K23" s="6"/>
      <c r="L23" s="6"/>
      <c r="M23" s="6"/>
      <c r="N23" s="6"/>
    </row>
    <row r="24" spans="1:16" ht="15" customHeight="1" x14ac:dyDescent="0.35">
      <c r="A24" s="6"/>
      <c r="B24" s="6"/>
      <c r="C24" s="6"/>
      <c r="D24" s="6"/>
      <c r="E24" s="6"/>
      <c r="F24" s="6"/>
      <c r="G24" s="6"/>
      <c r="H24" s="6"/>
      <c r="I24" s="6"/>
      <c r="J24" s="6"/>
      <c r="K24" s="6"/>
      <c r="L24" s="6"/>
      <c r="M24" s="6"/>
      <c r="N24" s="6"/>
    </row>
    <row r="25" spans="1:16" x14ac:dyDescent="0.35">
      <c r="B25" s="89"/>
      <c r="C25" s="89"/>
      <c r="D25" s="89"/>
      <c r="E25" s="89"/>
      <c r="F25" s="89"/>
    </row>
    <row r="27" spans="1:16" x14ac:dyDescent="0.35">
      <c r="B27" s="89"/>
      <c r="C27" s="89"/>
      <c r="D27" s="89"/>
      <c r="E27" s="89"/>
      <c r="F27" s="89"/>
    </row>
    <row r="29" spans="1:16" x14ac:dyDescent="0.35">
      <c r="B29" s="91"/>
      <c r="C29" s="91"/>
      <c r="D29" s="91"/>
      <c r="E29" s="91"/>
      <c r="F29" s="91"/>
      <c r="G29" s="91"/>
      <c r="H29" s="91"/>
    </row>
    <row r="31" spans="1:16" x14ac:dyDescent="0.35">
      <c r="B31" s="89"/>
      <c r="C31" s="89"/>
      <c r="D31" s="89"/>
      <c r="E31" s="89"/>
      <c r="F31" s="89"/>
      <c r="G31" s="89"/>
    </row>
    <row r="33" spans="2:8" x14ac:dyDescent="0.35">
      <c r="B33" s="89"/>
      <c r="C33" s="89"/>
      <c r="D33" s="89"/>
      <c r="E33" s="89"/>
    </row>
    <row r="35" spans="2:8" x14ac:dyDescent="0.35">
      <c r="B35" s="89"/>
      <c r="C35" s="89"/>
      <c r="D35" s="89"/>
      <c r="E35" s="89"/>
      <c r="F35" s="89"/>
    </row>
    <row r="37" spans="2:8" x14ac:dyDescent="0.35">
      <c r="B37" s="88"/>
      <c r="C37" s="88"/>
      <c r="D37" s="88"/>
      <c r="E37" s="88"/>
      <c r="F37" s="88"/>
    </row>
    <row r="39" spans="2:8" x14ac:dyDescent="0.35">
      <c r="B39" s="86"/>
      <c r="C39" s="86"/>
      <c r="D39" s="86"/>
      <c r="E39" s="86"/>
    </row>
    <row r="41" spans="2:8" x14ac:dyDescent="0.35">
      <c r="B41" s="86"/>
      <c r="C41" s="86"/>
      <c r="D41" s="86"/>
    </row>
    <row r="43" spans="2:8" x14ac:dyDescent="0.35">
      <c r="B43" s="87"/>
      <c r="C43" s="87"/>
      <c r="D43" s="87"/>
      <c r="E43" s="87"/>
      <c r="F43" s="87"/>
    </row>
    <row r="45" spans="2:8" x14ac:dyDescent="0.35">
      <c r="B45" s="86"/>
      <c r="C45" s="86"/>
      <c r="D45" s="86"/>
      <c r="E45" s="86"/>
      <c r="F45" s="86"/>
      <c r="G45" s="86"/>
      <c r="H45" s="86"/>
    </row>
    <row r="47" spans="2:8" x14ac:dyDescent="0.35">
      <c r="B47" s="86"/>
      <c r="C47" s="86"/>
      <c r="D47" s="86"/>
    </row>
  </sheetData>
  <sheetProtection algorithmName="SHA-512" hashValue="vb3G98kFGmIfHv8+/nEmzPcfBPtdrr/v1UnkUNr/626ZwEatuPWedvdpwtBPpR0sJ2u4d0eVO4+DUAsyUxylUQ==" saltValue="5K1/37zOzr01vC0gIiFGJg==" spinCount="100000" sheet="1" objects="1" scenarios="1"/>
  <mergeCells count="14">
    <mergeCell ref="B37:F37"/>
    <mergeCell ref="B31:G31"/>
    <mergeCell ref="B33:E33"/>
    <mergeCell ref="B35:F35"/>
    <mergeCell ref="A21:N21"/>
    <mergeCell ref="B25:F25"/>
    <mergeCell ref="B27:F27"/>
    <mergeCell ref="B29:H29"/>
    <mergeCell ref="A23:H23"/>
    <mergeCell ref="B45:H45"/>
    <mergeCell ref="B47:D47"/>
    <mergeCell ref="B43:F43"/>
    <mergeCell ref="B41:D41"/>
    <mergeCell ref="B39:E39"/>
  </mergeCells>
  <hyperlinks>
    <hyperlink ref="A23:H23" location="'SCORE2-Diabetes'!A1" display="   SCORE2-Diabetes" xr:uid="{73468E7B-DD19-420B-9543-F8844BB5745D}"/>
  </hyperlinks>
  <pageMargins left="0.7" right="0.7" top="0.75" bottom="0.75" header="0.3" footer="0.3"/>
  <pageSetup paperSize="9"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18853-60C0-4D5F-8C71-79297A221DD2}">
  <dimension ref="A1:O80"/>
  <sheetViews>
    <sheetView workbookViewId="0">
      <selection activeCell="I7" sqref="I7"/>
    </sheetView>
  </sheetViews>
  <sheetFormatPr defaultColWidth="9" defaultRowHeight="14.5" x14ac:dyDescent="0.35"/>
  <cols>
    <col min="1" max="16384" width="9" style="2"/>
  </cols>
  <sheetData>
    <row r="1" spans="1:15" x14ac:dyDescent="0.35">
      <c r="A1" s="92" t="s">
        <v>344</v>
      </c>
      <c r="B1" s="92"/>
      <c r="C1" s="92"/>
      <c r="D1" s="92"/>
      <c r="E1" s="92"/>
      <c r="F1" s="92"/>
      <c r="G1" s="92"/>
      <c r="H1" s="92"/>
      <c r="I1" s="92"/>
      <c r="J1" s="92"/>
      <c r="K1" s="92"/>
      <c r="L1" s="92"/>
      <c r="M1" s="92"/>
      <c r="N1" s="92"/>
    </row>
    <row r="2" spans="1:15" x14ac:dyDescent="0.35">
      <c r="A2" s="92"/>
      <c r="B2" s="92"/>
      <c r="C2" s="92"/>
      <c r="D2" s="92"/>
      <c r="E2" s="92"/>
      <c r="F2" s="92"/>
      <c r="G2" s="92"/>
      <c r="H2" s="92"/>
      <c r="I2" s="92"/>
      <c r="J2" s="92"/>
      <c r="K2" s="92"/>
      <c r="L2" s="92"/>
      <c r="M2" s="92"/>
      <c r="N2" s="92"/>
    </row>
    <row r="4" spans="1:15" x14ac:dyDescent="0.35">
      <c r="A4" s="163" t="s">
        <v>346</v>
      </c>
      <c r="B4" s="163"/>
      <c r="C4" s="163"/>
      <c r="D4" s="163"/>
      <c r="E4" s="163"/>
      <c r="F4" s="163"/>
      <c r="G4" s="163"/>
      <c r="H4" s="163"/>
      <c r="I4" s="163"/>
      <c r="J4" s="163"/>
      <c r="K4" s="163"/>
      <c r="L4" s="163"/>
      <c r="M4" s="163"/>
      <c r="N4" s="163"/>
    </row>
    <row r="5" spans="1:15" x14ac:dyDescent="0.35">
      <c r="A5" s="163"/>
      <c r="B5" s="163"/>
      <c r="C5" s="163"/>
      <c r="D5" s="163"/>
      <c r="E5" s="163"/>
      <c r="F5" s="163"/>
      <c r="G5" s="163"/>
      <c r="H5" s="163"/>
      <c r="I5" s="163"/>
      <c r="J5" s="163"/>
      <c r="K5" s="163"/>
      <c r="L5" s="163"/>
      <c r="M5" s="163"/>
      <c r="N5" s="163"/>
    </row>
    <row r="6" spans="1:15" x14ac:dyDescent="0.35">
      <c r="E6" s="4"/>
    </row>
    <row r="7" spans="1:15" x14ac:dyDescent="0.35">
      <c r="A7" s="2" t="s">
        <v>347</v>
      </c>
      <c r="E7" s="4">
        <v>1</v>
      </c>
      <c r="O7" s="5" t="s">
        <v>348</v>
      </c>
    </row>
    <row r="8" spans="1:15" x14ac:dyDescent="0.35">
      <c r="E8" s="4"/>
      <c r="O8" s="5" t="s">
        <v>349</v>
      </c>
    </row>
    <row r="9" spans="1:15" x14ac:dyDescent="0.35">
      <c r="A9" s="2" t="s">
        <v>350</v>
      </c>
      <c r="E9" s="4">
        <v>1</v>
      </c>
      <c r="O9" s="5"/>
    </row>
    <row r="10" spans="1:15" x14ac:dyDescent="0.35">
      <c r="O10" s="5" t="s">
        <v>351</v>
      </c>
    </row>
    <row r="11" spans="1:15" x14ac:dyDescent="0.35">
      <c r="O11" s="5" t="s">
        <v>352</v>
      </c>
    </row>
    <row r="12" spans="1:15" ht="15" customHeight="1" x14ac:dyDescent="0.35">
      <c r="A12" s="2" t="s">
        <v>354</v>
      </c>
      <c r="F12" s="125" t="str">
        <f>IF(AND(E7=2,E9=2),O13,IF(AND(E7=2,E9=3),O13,IF(AND(E7=3,E9=2),O20,IF(AND(E7=3,E9=3),O22,""))))</f>
        <v/>
      </c>
      <c r="G12" s="125"/>
      <c r="H12" s="125"/>
      <c r="I12" s="125"/>
      <c r="J12" s="125"/>
      <c r="K12" s="125"/>
      <c r="L12" s="125"/>
      <c r="M12" s="125"/>
      <c r="N12" s="125"/>
      <c r="O12" s="5" t="s">
        <v>353</v>
      </c>
    </row>
    <row r="13" spans="1:15" x14ac:dyDescent="0.35">
      <c r="F13" s="125" t="str">
        <f>IF(AND(E7=2,E9=2),O12,IF(AND(E7=2,E9=3),O12,IF(AND(E7=3,E9=2),O19,IF(AND(E7=3,E9=3),O16,""))))</f>
        <v/>
      </c>
      <c r="G13" s="125"/>
      <c r="H13" s="125"/>
      <c r="I13" s="125"/>
      <c r="J13" s="125"/>
      <c r="K13" s="125"/>
      <c r="L13" s="125"/>
      <c r="M13" s="125"/>
      <c r="N13" s="125"/>
      <c r="O13" s="5" t="s">
        <v>355</v>
      </c>
    </row>
    <row r="14" spans="1:15" x14ac:dyDescent="0.35">
      <c r="F14" s="125"/>
      <c r="G14" s="125"/>
      <c r="H14" s="125"/>
      <c r="I14" s="125"/>
      <c r="J14" s="125"/>
      <c r="K14" s="125"/>
      <c r="L14" s="125"/>
      <c r="M14" s="125"/>
      <c r="N14" s="125"/>
      <c r="O14" s="5" t="s">
        <v>356</v>
      </c>
    </row>
    <row r="15" spans="1:15" x14ac:dyDescent="0.35">
      <c r="O15" s="5" t="s">
        <v>357</v>
      </c>
    </row>
    <row r="16" spans="1:15" x14ac:dyDescent="0.35">
      <c r="O16" s="5" t="s">
        <v>358</v>
      </c>
    </row>
    <row r="17" spans="1:15" x14ac:dyDescent="0.35">
      <c r="F17" s="90" t="str">
        <f>IF(AND(E7=2,E9=2),O15,IF(AND(E7=2,E9=3),O15,IF(AND(E7=3,E9=2),O21,"")))</f>
        <v/>
      </c>
      <c r="G17" s="90"/>
      <c r="H17" s="90"/>
      <c r="I17" s="90"/>
      <c r="J17" s="90"/>
      <c r="K17" s="90"/>
      <c r="L17" s="90"/>
      <c r="M17" s="90"/>
      <c r="N17" s="90"/>
      <c r="O17" s="5" t="s">
        <v>359</v>
      </c>
    </row>
    <row r="18" spans="1:15" x14ac:dyDescent="0.35">
      <c r="F18" s="90" t="str">
        <f>IF(AND(E7=2,E9=2),O16,IF(AND(E7=2,E9=3),O16,IF(AND(E7=3,E9=2),O16,"")))</f>
        <v/>
      </c>
      <c r="G18" s="90"/>
      <c r="H18" s="90"/>
      <c r="I18" s="90"/>
      <c r="J18" s="90"/>
      <c r="K18" s="90"/>
      <c r="L18" s="90"/>
      <c r="M18" s="90"/>
      <c r="N18" s="90"/>
      <c r="O18" s="5" t="s">
        <v>360</v>
      </c>
    </row>
    <row r="19" spans="1:15" x14ac:dyDescent="0.35">
      <c r="F19" s="90"/>
      <c r="G19" s="90"/>
      <c r="H19" s="90"/>
      <c r="I19" s="90"/>
      <c r="J19" s="90"/>
      <c r="K19" s="90"/>
      <c r="L19" s="90"/>
      <c r="M19" s="90"/>
      <c r="N19" s="90"/>
      <c r="O19" s="5" t="s">
        <v>361</v>
      </c>
    </row>
    <row r="20" spans="1:15" x14ac:dyDescent="0.35">
      <c r="O20" s="5" t="s">
        <v>362</v>
      </c>
    </row>
    <row r="21" spans="1:15" x14ac:dyDescent="0.35">
      <c r="F21" s="2" t="str">
        <f>IF(AND(E7=2,E9=2),"ან","")</f>
        <v/>
      </c>
      <c r="O21" s="5" t="s">
        <v>363</v>
      </c>
    </row>
    <row r="22" spans="1:15" x14ac:dyDescent="0.35">
      <c r="O22" s="5" t="s">
        <v>364</v>
      </c>
    </row>
    <row r="23" spans="1:15" x14ac:dyDescent="0.35">
      <c r="F23" s="125" t="str">
        <f>IF(AND(E7=2,E9=2),O14,"")</f>
        <v/>
      </c>
      <c r="G23" s="125"/>
      <c r="H23" s="125"/>
      <c r="I23" s="125"/>
      <c r="J23" s="125"/>
      <c r="K23" s="125"/>
      <c r="L23" s="125"/>
      <c r="M23" s="125"/>
      <c r="N23" s="125"/>
    </row>
    <row r="24" spans="1:15" x14ac:dyDescent="0.35">
      <c r="F24" s="125" t="str">
        <f>IF(AND(E7=2,E9=2),O17,"")</f>
        <v/>
      </c>
      <c r="G24" s="125"/>
      <c r="H24" s="125"/>
      <c r="I24" s="125"/>
      <c r="J24" s="125"/>
      <c r="K24" s="125"/>
      <c r="L24" s="125"/>
      <c r="M24" s="125"/>
      <c r="N24" s="125"/>
    </row>
    <row r="25" spans="1:15" x14ac:dyDescent="0.35">
      <c r="F25" s="125"/>
      <c r="G25" s="125"/>
      <c r="H25" s="125"/>
      <c r="I25" s="125"/>
      <c r="J25" s="125"/>
      <c r="K25" s="125"/>
      <c r="L25" s="125"/>
      <c r="M25" s="125"/>
      <c r="N25" s="125"/>
    </row>
    <row r="27" spans="1:15" x14ac:dyDescent="0.35">
      <c r="F27" s="125" t="str">
        <f>IF(AND(E7=2,E9=2),O18,"")</f>
        <v/>
      </c>
      <c r="G27" s="125"/>
      <c r="H27" s="125"/>
      <c r="I27" s="125"/>
      <c r="J27" s="125"/>
      <c r="K27" s="125"/>
      <c r="L27" s="125"/>
      <c r="M27" s="125"/>
      <c r="N27" s="125"/>
    </row>
    <row r="28" spans="1:15" x14ac:dyDescent="0.35">
      <c r="F28" s="125" t="str">
        <f>IF(AND(E7=2,E9=2),O16,"")</f>
        <v/>
      </c>
      <c r="G28" s="125"/>
      <c r="H28" s="125"/>
      <c r="I28" s="125"/>
      <c r="J28" s="125"/>
      <c r="K28" s="125"/>
      <c r="L28" s="125"/>
      <c r="M28" s="125"/>
      <c r="N28" s="125"/>
    </row>
    <row r="29" spans="1:15" x14ac:dyDescent="0.35">
      <c r="F29" s="125"/>
      <c r="G29" s="125"/>
      <c r="H29" s="125"/>
      <c r="I29" s="125"/>
      <c r="J29" s="125"/>
      <c r="K29" s="125"/>
      <c r="L29" s="125"/>
      <c r="M29" s="125"/>
      <c r="N29" s="125"/>
    </row>
    <row r="32" spans="1:15" x14ac:dyDescent="0.35">
      <c r="A32" s="106" t="s">
        <v>345</v>
      </c>
      <c r="B32" s="107"/>
      <c r="C32" s="107"/>
      <c r="D32" s="107"/>
      <c r="E32" s="107"/>
      <c r="F32" s="107"/>
      <c r="G32" s="107"/>
      <c r="H32" s="107"/>
      <c r="I32" s="107"/>
      <c r="J32" s="107"/>
      <c r="K32" s="107"/>
      <c r="L32" s="108"/>
      <c r="M32" s="105" t="s">
        <v>209</v>
      </c>
      <c r="N32" s="103" t="s">
        <v>207</v>
      </c>
    </row>
    <row r="33" spans="1:14" x14ac:dyDescent="0.35">
      <c r="A33" s="109"/>
      <c r="B33" s="110"/>
      <c r="C33" s="110"/>
      <c r="D33" s="110"/>
      <c r="E33" s="110"/>
      <c r="F33" s="110"/>
      <c r="G33" s="110"/>
      <c r="H33" s="110"/>
      <c r="I33" s="110"/>
      <c r="J33" s="110"/>
      <c r="K33" s="110"/>
      <c r="L33" s="111"/>
      <c r="M33" s="105"/>
      <c r="N33" s="103"/>
    </row>
    <row r="34" spans="1:14" x14ac:dyDescent="0.35">
      <c r="A34" s="112"/>
      <c r="B34" s="113"/>
      <c r="C34" s="113"/>
      <c r="D34" s="113"/>
      <c r="E34" s="113"/>
      <c r="F34" s="113"/>
      <c r="G34" s="113"/>
      <c r="H34" s="113"/>
      <c r="I34" s="113"/>
      <c r="J34" s="113"/>
      <c r="K34" s="113"/>
      <c r="L34" s="114"/>
      <c r="M34" s="105"/>
      <c r="N34" s="103"/>
    </row>
    <row r="35" spans="1:14" x14ac:dyDescent="0.35">
      <c r="A35" s="106" t="s">
        <v>365</v>
      </c>
      <c r="B35" s="107"/>
      <c r="C35" s="107"/>
      <c r="D35" s="107"/>
      <c r="E35" s="107"/>
      <c r="F35" s="107"/>
      <c r="G35" s="107"/>
      <c r="H35" s="107"/>
      <c r="I35" s="107"/>
      <c r="J35" s="107"/>
      <c r="K35" s="107"/>
      <c r="L35" s="108"/>
      <c r="M35" s="102" t="s">
        <v>66</v>
      </c>
      <c r="N35" s="103" t="s">
        <v>207</v>
      </c>
    </row>
    <row r="36" spans="1:14" x14ac:dyDescent="0.35">
      <c r="A36" s="109"/>
      <c r="B36" s="110"/>
      <c r="C36" s="110"/>
      <c r="D36" s="110"/>
      <c r="E36" s="110"/>
      <c r="F36" s="110"/>
      <c r="G36" s="110"/>
      <c r="H36" s="110"/>
      <c r="I36" s="110"/>
      <c r="J36" s="110"/>
      <c r="K36" s="110"/>
      <c r="L36" s="111"/>
      <c r="M36" s="102"/>
      <c r="N36" s="103"/>
    </row>
    <row r="37" spans="1:14" x14ac:dyDescent="0.35">
      <c r="A37" s="112"/>
      <c r="B37" s="113"/>
      <c r="C37" s="113"/>
      <c r="D37" s="113"/>
      <c r="E37" s="113"/>
      <c r="F37" s="113"/>
      <c r="G37" s="113"/>
      <c r="H37" s="113"/>
      <c r="I37" s="113"/>
      <c r="J37" s="113"/>
      <c r="K37" s="113"/>
      <c r="L37" s="114"/>
      <c r="M37" s="102"/>
      <c r="N37" s="103"/>
    </row>
    <row r="38" spans="1:14" x14ac:dyDescent="0.35">
      <c r="A38" s="106" t="s">
        <v>366</v>
      </c>
      <c r="B38" s="107"/>
      <c r="C38" s="107"/>
      <c r="D38" s="107"/>
      <c r="E38" s="107"/>
      <c r="F38" s="107"/>
      <c r="G38" s="107"/>
      <c r="H38" s="107"/>
      <c r="I38" s="107"/>
      <c r="J38" s="107"/>
      <c r="K38" s="107"/>
      <c r="L38" s="108"/>
      <c r="M38" s="102" t="s">
        <v>66</v>
      </c>
      <c r="N38" s="103" t="s">
        <v>207</v>
      </c>
    </row>
    <row r="39" spans="1:14" x14ac:dyDescent="0.35">
      <c r="A39" s="109"/>
      <c r="B39" s="110"/>
      <c r="C39" s="110"/>
      <c r="D39" s="110"/>
      <c r="E39" s="110"/>
      <c r="F39" s="110"/>
      <c r="G39" s="110"/>
      <c r="H39" s="110"/>
      <c r="I39" s="110"/>
      <c r="J39" s="110"/>
      <c r="K39" s="110"/>
      <c r="L39" s="111"/>
      <c r="M39" s="102"/>
      <c r="N39" s="103"/>
    </row>
    <row r="40" spans="1:14" x14ac:dyDescent="0.35">
      <c r="A40" s="112"/>
      <c r="B40" s="113"/>
      <c r="C40" s="113"/>
      <c r="D40" s="113"/>
      <c r="E40" s="113"/>
      <c r="F40" s="113"/>
      <c r="G40" s="113"/>
      <c r="H40" s="113"/>
      <c r="I40" s="113"/>
      <c r="J40" s="113"/>
      <c r="K40" s="113"/>
      <c r="L40" s="114"/>
      <c r="M40" s="102"/>
      <c r="N40" s="103"/>
    </row>
    <row r="41" spans="1:14" x14ac:dyDescent="0.35">
      <c r="A41" s="106" t="s">
        <v>367</v>
      </c>
      <c r="B41" s="107"/>
      <c r="C41" s="107"/>
      <c r="D41" s="107"/>
      <c r="E41" s="107"/>
      <c r="F41" s="107"/>
      <c r="G41" s="107"/>
      <c r="H41" s="107"/>
      <c r="I41" s="107"/>
      <c r="J41" s="107"/>
      <c r="K41" s="107"/>
      <c r="L41" s="108"/>
      <c r="M41" s="102" t="s">
        <v>66</v>
      </c>
      <c r="N41" s="103" t="s">
        <v>207</v>
      </c>
    </row>
    <row r="42" spans="1:14" x14ac:dyDescent="0.35">
      <c r="A42" s="109"/>
      <c r="B42" s="110"/>
      <c r="C42" s="110"/>
      <c r="D42" s="110"/>
      <c r="E42" s="110"/>
      <c r="F42" s="110"/>
      <c r="G42" s="110"/>
      <c r="H42" s="110"/>
      <c r="I42" s="110"/>
      <c r="J42" s="110"/>
      <c r="K42" s="110"/>
      <c r="L42" s="111"/>
      <c r="M42" s="102"/>
      <c r="N42" s="103"/>
    </row>
    <row r="43" spans="1:14" x14ac:dyDescent="0.35">
      <c r="A43" s="112"/>
      <c r="B43" s="113"/>
      <c r="C43" s="113"/>
      <c r="D43" s="113"/>
      <c r="E43" s="113"/>
      <c r="F43" s="113"/>
      <c r="G43" s="113"/>
      <c r="H43" s="113"/>
      <c r="I43" s="113"/>
      <c r="J43" s="113"/>
      <c r="K43" s="113"/>
      <c r="L43" s="114"/>
      <c r="M43" s="102"/>
      <c r="N43" s="103"/>
    </row>
    <row r="44" spans="1:14" x14ac:dyDescent="0.35">
      <c r="A44" s="106" t="s">
        <v>368</v>
      </c>
      <c r="B44" s="107"/>
      <c r="C44" s="107"/>
      <c r="D44" s="107"/>
      <c r="E44" s="107"/>
      <c r="F44" s="107"/>
      <c r="G44" s="107"/>
      <c r="H44" s="107"/>
      <c r="I44" s="107"/>
      <c r="J44" s="107"/>
      <c r="K44" s="107"/>
      <c r="L44" s="108"/>
      <c r="M44" s="102" t="s">
        <v>66</v>
      </c>
      <c r="N44" s="101" t="s">
        <v>67</v>
      </c>
    </row>
    <row r="45" spans="1:14" x14ac:dyDescent="0.35">
      <c r="A45" s="109"/>
      <c r="B45" s="110"/>
      <c r="C45" s="110"/>
      <c r="D45" s="110"/>
      <c r="E45" s="110"/>
      <c r="F45" s="110"/>
      <c r="G45" s="110"/>
      <c r="H45" s="110"/>
      <c r="I45" s="110"/>
      <c r="J45" s="110"/>
      <c r="K45" s="110"/>
      <c r="L45" s="111"/>
      <c r="M45" s="102"/>
      <c r="N45" s="101"/>
    </row>
    <row r="46" spans="1:14" x14ac:dyDescent="0.35">
      <c r="A46" s="112"/>
      <c r="B46" s="113"/>
      <c r="C46" s="113"/>
      <c r="D46" s="113"/>
      <c r="E46" s="113"/>
      <c r="F46" s="113"/>
      <c r="G46" s="113"/>
      <c r="H46" s="113"/>
      <c r="I46" s="113"/>
      <c r="J46" s="113"/>
      <c r="K46" s="113"/>
      <c r="L46" s="114"/>
      <c r="M46" s="102"/>
      <c r="N46" s="101"/>
    </row>
    <row r="47" spans="1:14" x14ac:dyDescent="0.35">
      <c r="A47" s="106" t="s">
        <v>369</v>
      </c>
      <c r="B47" s="107"/>
      <c r="C47" s="107"/>
      <c r="D47" s="107"/>
      <c r="E47" s="107"/>
      <c r="F47" s="107"/>
      <c r="G47" s="107"/>
      <c r="H47" s="107"/>
      <c r="I47" s="107"/>
      <c r="J47" s="107"/>
      <c r="K47" s="107"/>
      <c r="L47" s="108"/>
      <c r="M47" s="102" t="s">
        <v>66</v>
      </c>
      <c r="N47" s="104" t="s">
        <v>210</v>
      </c>
    </row>
    <row r="48" spans="1:14" x14ac:dyDescent="0.35">
      <c r="A48" s="109"/>
      <c r="B48" s="110"/>
      <c r="C48" s="110"/>
      <c r="D48" s="110"/>
      <c r="E48" s="110"/>
      <c r="F48" s="110"/>
      <c r="G48" s="110"/>
      <c r="H48" s="110"/>
      <c r="I48" s="110"/>
      <c r="J48" s="110"/>
      <c r="K48" s="110"/>
      <c r="L48" s="111"/>
      <c r="M48" s="102"/>
      <c r="N48" s="104"/>
    </row>
    <row r="49" spans="1:14" x14ac:dyDescent="0.35">
      <c r="A49" s="112"/>
      <c r="B49" s="113"/>
      <c r="C49" s="113"/>
      <c r="D49" s="113"/>
      <c r="E49" s="113"/>
      <c r="F49" s="113"/>
      <c r="G49" s="113"/>
      <c r="H49" s="113"/>
      <c r="I49" s="113"/>
      <c r="J49" s="113"/>
      <c r="K49" s="113"/>
      <c r="L49" s="114"/>
      <c r="M49" s="102"/>
      <c r="N49" s="104"/>
    </row>
    <row r="50" spans="1:14" x14ac:dyDescent="0.35">
      <c r="A50" s="106" t="s">
        <v>370</v>
      </c>
      <c r="B50" s="107"/>
      <c r="C50" s="107"/>
      <c r="D50" s="107"/>
      <c r="E50" s="107"/>
      <c r="F50" s="107"/>
      <c r="G50" s="107"/>
      <c r="H50" s="107"/>
      <c r="I50" s="107"/>
      <c r="J50" s="107"/>
      <c r="K50" s="107"/>
      <c r="L50" s="108"/>
      <c r="M50" s="100" t="s">
        <v>208</v>
      </c>
      <c r="N50" s="103" t="s">
        <v>207</v>
      </c>
    </row>
    <row r="51" spans="1:14" x14ac:dyDescent="0.35">
      <c r="A51" s="109"/>
      <c r="B51" s="110"/>
      <c r="C51" s="110"/>
      <c r="D51" s="110"/>
      <c r="E51" s="110"/>
      <c r="F51" s="110"/>
      <c r="G51" s="110"/>
      <c r="H51" s="110"/>
      <c r="I51" s="110"/>
      <c r="J51" s="110"/>
      <c r="K51" s="110"/>
      <c r="L51" s="111"/>
      <c r="M51" s="100"/>
      <c r="N51" s="103"/>
    </row>
    <row r="52" spans="1:14" x14ac:dyDescent="0.35">
      <c r="A52" s="112"/>
      <c r="B52" s="113"/>
      <c r="C52" s="113"/>
      <c r="D52" s="113"/>
      <c r="E52" s="113"/>
      <c r="F52" s="113"/>
      <c r="G52" s="113"/>
      <c r="H52" s="113"/>
      <c r="I52" s="113"/>
      <c r="J52" s="113"/>
      <c r="K52" s="113"/>
      <c r="L52" s="114"/>
      <c r="M52" s="100"/>
      <c r="N52" s="103"/>
    </row>
    <row r="53" spans="1:14" x14ac:dyDescent="0.35">
      <c r="A53" s="106" t="s">
        <v>371</v>
      </c>
      <c r="B53" s="107"/>
      <c r="C53" s="107"/>
      <c r="D53" s="107"/>
      <c r="E53" s="107"/>
      <c r="F53" s="107"/>
      <c r="G53" s="107"/>
      <c r="H53" s="107"/>
      <c r="I53" s="107"/>
      <c r="J53" s="107"/>
      <c r="K53" s="107"/>
      <c r="L53" s="108"/>
      <c r="M53" s="100" t="s">
        <v>208</v>
      </c>
      <c r="N53" s="101" t="s">
        <v>67</v>
      </c>
    </row>
    <row r="54" spans="1:14" x14ac:dyDescent="0.35">
      <c r="A54" s="109"/>
      <c r="B54" s="110"/>
      <c r="C54" s="110"/>
      <c r="D54" s="110"/>
      <c r="E54" s="110"/>
      <c r="F54" s="110"/>
      <c r="G54" s="110"/>
      <c r="H54" s="110"/>
      <c r="I54" s="110"/>
      <c r="J54" s="110"/>
      <c r="K54" s="110"/>
      <c r="L54" s="111"/>
      <c r="M54" s="100"/>
      <c r="N54" s="101"/>
    </row>
    <row r="55" spans="1:14" x14ac:dyDescent="0.35">
      <c r="A55" s="112"/>
      <c r="B55" s="113"/>
      <c r="C55" s="113"/>
      <c r="D55" s="113"/>
      <c r="E55" s="113"/>
      <c r="F55" s="113"/>
      <c r="G55" s="113"/>
      <c r="H55" s="113"/>
      <c r="I55" s="113"/>
      <c r="J55" s="113"/>
      <c r="K55" s="113"/>
      <c r="L55" s="114"/>
      <c r="M55" s="100"/>
      <c r="N55" s="101"/>
    </row>
    <row r="57" spans="1:14" x14ac:dyDescent="0.35">
      <c r="A57" s="106" t="s">
        <v>372</v>
      </c>
      <c r="B57" s="107"/>
      <c r="C57" s="107"/>
      <c r="D57" s="107"/>
      <c r="E57" s="107"/>
      <c r="F57" s="107"/>
      <c r="G57" s="107"/>
      <c r="H57" s="107"/>
      <c r="I57" s="107"/>
      <c r="J57" s="107"/>
      <c r="K57" s="107"/>
      <c r="L57" s="108"/>
      <c r="M57" s="102" t="s">
        <v>66</v>
      </c>
      <c r="N57" s="103" t="s">
        <v>207</v>
      </c>
    </row>
    <row r="58" spans="1:14" x14ac:dyDescent="0.35">
      <c r="A58" s="109"/>
      <c r="B58" s="110"/>
      <c r="C58" s="110"/>
      <c r="D58" s="110"/>
      <c r="E58" s="110"/>
      <c r="F58" s="110"/>
      <c r="G58" s="110"/>
      <c r="H58" s="110"/>
      <c r="I58" s="110"/>
      <c r="J58" s="110"/>
      <c r="K58" s="110"/>
      <c r="L58" s="111"/>
      <c r="M58" s="102"/>
      <c r="N58" s="103"/>
    </row>
    <row r="59" spans="1:14" x14ac:dyDescent="0.35">
      <c r="A59" s="112"/>
      <c r="B59" s="113"/>
      <c r="C59" s="113"/>
      <c r="D59" s="113"/>
      <c r="E59" s="113"/>
      <c r="F59" s="113"/>
      <c r="G59" s="113"/>
      <c r="H59" s="113"/>
      <c r="I59" s="113"/>
      <c r="J59" s="113"/>
      <c r="K59" s="113"/>
      <c r="L59" s="114"/>
      <c r="M59" s="102"/>
      <c r="N59" s="103"/>
    </row>
    <row r="60" spans="1:14" ht="15" customHeight="1" x14ac:dyDescent="0.35">
      <c r="A60" s="99" t="s">
        <v>373</v>
      </c>
      <c r="B60" s="99"/>
      <c r="C60" s="99"/>
      <c r="D60" s="99"/>
      <c r="E60" s="99"/>
      <c r="F60" s="99"/>
      <c r="G60" s="99"/>
      <c r="H60" s="99"/>
      <c r="I60" s="99"/>
      <c r="J60" s="99"/>
      <c r="K60" s="99"/>
      <c r="L60" s="99"/>
      <c r="M60" s="102" t="s">
        <v>66</v>
      </c>
      <c r="N60" s="103" t="s">
        <v>207</v>
      </c>
    </row>
    <row r="61" spans="1:14" x14ac:dyDescent="0.35">
      <c r="A61" s="99"/>
      <c r="B61" s="99"/>
      <c r="C61" s="99"/>
      <c r="D61" s="99"/>
      <c r="E61" s="99"/>
      <c r="F61" s="99"/>
      <c r="G61" s="99"/>
      <c r="H61" s="99"/>
      <c r="I61" s="99"/>
      <c r="J61" s="99"/>
      <c r="K61" s="99"/>
      <c r="L61" s="99"/>
      <c r="M61" s="102"/>
      <c r="N61" s="103"/>
    </row>
    <row r="62" spans="1:14" x14ac:dyDescent="0.35">
      <c r="A62" s="99"/>
      <c r="B62" s="99"/>
      <c r="C62" s="99"/>
      <c r="D62" s="99"/>
      <c r="E62" s="99"/>
      <c r="F62" s="99"/>
      <c r="G62" s="99"/>
      <c r="H62" s="99"/>
      <c r="I62" s="99"/>
      <c r="J62" s="99"/>
      <c r="K62" s="99"/>
      <c r="L62" s="99"/>
      <c r="M62" s="102"/>
      <c r="N62" s="103"/>
    </row>
    <row r="63" spans="1:14" x14ac:dyDescent="0.35">
      <c r="A63" s="99"/>
      <c r="B63" s="99"/>
      <c r="C63" s="99"/>
      <c r="D63" s="99"/>
      <c r="E63" s="99"/>
      <c r="F63" s="99"/>
      <c r="G63" s="99"/>
      <c r="H63" s="99"/>
      <c r="I63" s="99"/>
      <c r="J63" s="99"/>
      <c r="K63" s="99"/>
      <c r="L63" s="99"/>
      <c r="M63" s="102"/>
      <c r="N63" s="103"/>
    </row>
    <row r="64" spans="1:14" x14ac:dyDescent="0.35">
      <c r="A64" s="106" t="s">
        <v>374</v>
      </c>
      <c r="B64" s="107"/>
      <c r="C64" s="107"/>
      <c r="D64" s="107"/>
      <c r="E64" s="107"/>
      <c r="F64" s="107"/>
      <c r="G64" s="107"/>
      <c r="H64" s="107"/>
      <c r="I64" s="107"/>
      <c r="J64" s="107"/>
      <c r="K64" s="107"/>
      <c r="L64" s="108"/>
      <c r="M64" s="100" t="s">
        <v>208</v>
      </c>
      <c r="N64" s="104" t="s">
        <v>210</v>
      </c>
    </row>
    <row r="65" spans="1:14" x14ac:dyDescent="0.35">
      <c r="A65" s="109"/>
      <c r="B65" s="110"/>
      <c r="C65" s="110"/>
      <c r="D65" s="110"/>
      <c r="E65" s="110"/>
      <c r="F65" s="110"/>
      <c r="G65" s="110"/>
      <c r="H65" s="110"/>
      <c r="I65" s="110"/>
      <c r="J65" s="110"/>
      <c r="K65" s="110"/>
      <c r="L65" s="111"/>
      <c r="M65" s="100"/>
      <c r="N65" s="104"/>
    </row>
    <row r="66" spans="1:14" x14ac:dyDescent="0.35">
      <c r="A66" s="112"/>
      <c r="B66" s="113"/>
      <c r="C66" s="113"/>
      <c r="D66" s="113"/>
      <c r="E66" s="113"/>
      <c r="F66" s="113"/>
      <c r="G66" s="113"/>
      <c r="H66" s="113"/>
      <c r="I66" s="113"/>
      <c r="J66" s="113"/>
      <c r="K66" s="113"/>
      <c r="L66" s="114"/>
      <c r="M66" s="100"/>
      <c r="N66" s="104"/>
    </row>
    <row r="67" spans="1:14" ht="15" customHeight="1" x14ac:dyDescent="0.35">
      <c r="A67" s="99" t="s">
        <v>375</v>
      </c>
      <c r="B67" s="99"/>
      <c r="C67" s="99"/>
      <c r="D67" s="99"/>
      <c r="E67" s="99"/>
      <c r="F67" s="99"/>
      <c r="G67" s="99"/>
      <c r="H67" s="99"/>
      <c r="I67" s="99"/>
      <c r="J67" s="99"/>
      <c r="K67" s="99"/>
      <c r="L67" s="99"/>
      <c r="M67" s="105" t="s">
        <v>209</v>
      </c>
      <c r="N67" s="104" t="s">
        <v>210</v>
      </c>
    </row>
    <row r="68" spans="1:14" x14ac:dyDescent="0.35">
      <c r="A68" s="99"/>
      <c r="B68" s="99"/>
      <c r="C68" s="99"/>
      <c r="D68" s="99"/>
      <c r="E68" s="99"/>
      <c r="F68" s="99"/>
      <c r="G68" s="99"/>
      <c r="H68" s="99"/>
      <c r="I68" s="99"/>
      <c r="J68" s="99"/>
      <c r="K68" s="99"/>
      <c r="L68" s="99"/>
      <c r="M68" s="105"/>
      <c r="N68" s="104"/>
    </row>
    <row r="69" spans="1:14" x14ac:dyDescent="0.35">
      <c r="A69" s="99"/>
      <c r="B69" s="99"/>
      <c r="C69" s="99"/>
      <c r="D69" s="99"/>
      <c r="E69" s="99"/>
      <c r="F69" s="99"/>
      <c r="G69" s="99"/>
      <c r="H69" s="99"/>
      <c r="I69" s="99"/>
      <c r="J69" s="99"/>
      <c r="K69" s="99"/>
      <c r="L69" s="99"/>
      <c r="M69" s="105"/>
      <c r="N69" s="104"/>
    </row>
    <row r="70" spans="1:14" x14ac:dyDescent="0.35">
      <c r="A70" s="99"/>
      <c r="B70" s="99"/>
      <c r="C70" s="99"/>
      <c r="D70" s="99"/>
      <c r="E70" s="99"/>
      <c r="F70" s="99"/>
      <c r="G70" s="99"/>
      <c r="H70" s="99"/>
      <c r="I70" s="99"/>
      <c r="J70" s="99"/>
      <c r="K70" s="99"/>
      <c r="L70" s="99"/>
      <c r="M70" s="105"/>
      <c r="N70" s="104"/>
    </row>
    <row r="72" spans="1:14" x14ac:dyDescent="0.35">
      <c r="A72" s="106" t="s">
        <v>376</v>
      </c>
      <c r="B72" s="107"/>
      <c r="C72" s="107"/>
      <c r="D72" s="107"/>
      <c r="E72" s="107"/>
      <c r="F72" s="107"/>
      <c r="G72" s="107"/>
      <c r="H72" s="107"/>
      <c r="I72" s="107"/>
      <c r="J72" s="107"/>
      <c r="K72" s="107"/>
      <c r="L72" s="108"/>
      <c r="M72" s="102" t="s">
        <v>66</v>
      </c>
      <c r="N72" s="103" t="s">
        <v>207</v>
      </c>
    </row>
    <row r="73" spans="1:14" x14ac:dyDescent="0.35">
      <c r="A73" s="109"/>
      <c r="B73" s="110"/>
      <c r="C73" s="110"/>
      <c r="D73" s="110"/>
      <c r="E73" s="110"/>
      <c r="F73" s="110"/>
      <c r="G73" s="110"/>
      <c r="H73" s="110"/>
      <c r="I73" s="110"/>
      <c r="J73" s="110"/>
      <c r="K73" s="110"/>
      <c r="L73" s="111"/>
      <c r="M73" s="102"/>
      <c r="N73" s="103"/>
    </row>
    <row r="74" spans="1:14" x14ac:dyDescent="0.35">
      <c r="A74" s="112"/>
      <c r="B74" s="113"/>
      <c r="C74" s="113"/>
      <c r="D74" s="113"/>
      <c r="E74" s="113"/>
      <c r="F74" s="113"/>
      <c r="G74" s="113"/>
      <c r="H74" s="113"/>
      <c r="I74" s="113"/>
      <c r="J74" s="113"/>
      <c r="K74" s="113"/>
      <c r="L74" s="114"/>
      <c r="M74" s="102"/>
      <c r="N74" s="103"/>
    </row>
    <row r="75" spans="1:14" x14ac:dyDescent="0.35">
      <c r="A75" s="106" t="s">
        <v>377</v>
      </c>
      <c r="B75" s="107"/>
      <c r="C75" s="107"/>
      <c r="D75" s="107"/>
      <c r="E75" s="107"/>
      <c r="F75" s="107"/>
      <c r="G75" s="107"/>
      <c r="H75" s="107"/>
      <c r="I75" s="107"/>
      <c r="J75" s="107"/>
      <c r="K75" s="107"/>
      <c r="L75" s="108"/>
      <c r="M75" s="100" t="s">
        <v>208</v>
      </c>
      <c r="N75" s="103" t="s">
        <v>207</v>
      </c>
    </row>
    <row r="76" spans="1:14" x14ac:dyDescent="0.35">
      <c r="A76" s="109"/>
      <c r="B76" s="110"/>
      <c r="C76" s="110"/>
      <c r="D76" s="110"/>
      <c r="E76" s="110"/>
      <c r="F76" s="110"/>
      <c r="G76" s="110"/>
      <c r="H76" s="110"/>
      <c r="I76" s="110"/>
      <c r="J76" s="110"/>
      <c r="K76" s="110"/>
      <c r="L76" s="111"/>
      <c r="M76" s="100"/>
      <c r="N76" s="103"/>
    </row>
    <row r="77" spans="1:14" x14ac:dyDescent="0.35">
      <c r="A77" s="112"/>
      <c r="B77" s="113"/>
      <c r="C77" s="113"/>
      <c r="D77" s="113"/>
      <c r="E77" s="113"/>
      <c r="F77" s="113"/>
      <c r="G77" s="113"/>
      <c r="H77" s="113"/>
      <c r="I77" s="113"/>
      <c r="J77" s="113"/>
      <c r="K77" s="113"/>
      <c r="L77" s="114"/>
      <c r="M77" s="100"/>
      <c r="N77" s="103"/>
    </row>
    <row r="78" spans="1:14" x14ac:dyDescent="0.35">
      <c r="A78" s="106" t="s">
        <v>378</v>
      </c>
      <c r="B78" s="107"/>
      <c r="C78" s="107"/>
      <c r="D78" s="107"/>
      <c r="E78" s="107"/>
      <c r="F78" s="107"/>
      <c r="G78" s="107"/>
      <c r="H78" s="107"/>
      <c r="I78" s="107"/>
      <c r="J78" s="107"/>
      <c r="K78" s="107"/>
      <c r="L78" s="108"/>
      <c r="M78" s="115" t="s">
        <v>214</v>
      </c>
      <c r="N78" s="101" t="s">
        <v>67</v>
      </c>
    </row>
    <row r="79" spans="1:14" x14ac:dyDescent="0.35">
      <c r="A79" s="109"/>
      <c r="B79" s="110"/>
      <c r="C79" s="110"/>
      <c r="D79" s="110"/>
      <c r="E79" s="110"/>
      <c r="F79" s="110"/>
      <c r="G79" s="110"/>
      <c r="H79" s="110"/>
      <c r="I79" s="110"/>
      <c r="J79" s="110"/>
      <c r="K79" s="110"/>
      <c r="L79" s="111"/>
      <c r="M79" s="115"/>
      <c r="N79" s="101"/>
    </row>
    <row r="80" spans="1:14" x14ac:dyDescent="0.35">
      <c r="A80" s="112"/>
      <c r="B80" s="113"/>
      <c r="C80" s="113"/>
      <c r="D80" s="113"/>
      <c r="E80" s="113"/>
      <c r="F80" s="113"/>
      <c r="G80" s="113"/>
      <c r="H80" s="113"/>
      <c r="I80" s="113"/>
      <c r="J80" s="113"/>
      <c r="K80" s="113"/>
      <c r="L80" s="114"/>
      <c r="M80" s="115"/>
      <c r="N80" s="101"/>
    </row>
  </sheetData>
  <sheetProtection algorithmName="SHA-512" hashValue="jbbpr7Z+DxhIRBIqcAwEutJmjihHkWY+n0ksYNgW0VHfFjEhL5d/Y7zA0KjYb+itUdzalafDo1pw0zcwvT7/1g==" saltValue="DET85uKBgVsNR6/cea9L0g==" spinCount="100000" sheet="1" objects="1" scenarios="1"/>
  <mergeCells count="55">
    <mergeCell ref="A1:N2"/>
    <mergeCell ref="A32:L34"/>
    <mergeCell ref="M32:M34"/>
    <mergeCell ref="N32:N34"/>
    <mergeCell ref="A4:N5"/>
    <mergeCell ref="F12:N12"/>
    <mergeCell ref="F13:N14"/>
    <mergeCell ref="F17:N17"/>
    <mergeCell ref="F18:N19"/>
    <mergeCell ref="F23:N23"/>
    <mergeCell ref="F24:N25"/>
    <mergeCell ref="F27:N27"/>
    <mergeCell ref="F28:N29"/>
    <mergeCell ref="A35:L37"/>
    <mergeCell ref="M35:M37"/>
    <mergeCell ref="N35:N37"/>
    <mergeCell ref="A38:L40"/>
    <mergeCell ref="M38:M40"/>
    <mergeCell ref="N38:N40"/>
    <mergeCell ref="A41:L43"/>
    <mergeCell ref="M41:M43"/>
    <mergeCell ref="N41:N43"/>
    <mergeCell ref="A44:L46"/>
    <mergeCell ref="M44:M46"/>
    <mergeCell ref="N44:N46"/>
    <mergeCell ref="A47:L49"/>
    <mergeCell ref="M47:M49"/>
    <mergeCell ref="N47:N49"/>
    <mergeCell ref="A50:L52"/>
    <mergeCell ref="M50:M52"/>
    <mergeCell ref="N50:N52"/>
    <mergeCell ref="A53:L55"/>
    <mergeCell ref="M53:M55"/>
    <mergeCell ref="N53:N55"/>
    <mergeCell ref="A57:L59"/>
    <mergeCell ref="M57:M59"/>
    <mergeCell ref="N57:N59"/>
    <mergeCell ref="A60:L63"/>
    <mergeCell ref="M60:M63"/>
    <mergeCell ref="N60:N63"/>
    <mergeCell ref="A64:L66"/>
    <mergeCell ref="M64:M66"/>
    <mergeCell ref="N64:N66"/>
    <mergeCell ref="A67:L70"/>
    <mergeCell ref="M67:M70"/>
    <mergeCell ref="N67:N70"/>
    <mergeCell ref="A78:L80"/>
    <mergeCell ref="M78:M80"/>
    <mergeCell ref="N78:N80"/>
    <mergeCell ref="A72:L74"/>
    <mergeCell ref="M72:M74"/>
    <mergeCell ref="N72:N74"/>
    <mergeCell ref="A75:L77"/>
    <mergeCell ref="M75:M77"/>
    <mergeCell ref="N75:N77"/>
  </mergeCells>
  <conditionalFormatting sqref="F12">
    <cfRule type="containsText" dxfId="46" priority="9" operator="containsText" text="I">
      <formula>NOT(ISERROR(SEARCH("I",F12)))</formula>
    </cfRule>
  </conditionalFormatting>
  <conditionalFormatting sqref="F12:N12">
    <cfRule type="notContainsBlanks" dxfId="45" priority="10">
      <formula>LEN(TRIM(F12))&gt;0</formula>
    </cfRule>
  </conditionalFormatting>
  <conditionalFormatting sqref="F13:N14">
    <cfRule type="containsText" dxfId="44" priority="7" operator="containsText" text="I">
      <formula>NOT(ISERROR(SEARCH("I",F13)))</formula>
    </cfRule>
  </conditionalFormatting>
  <conditionalFormatting sqref="F17:N17">
    <cfRule type="notContainsBlanks" dxfId="43" priority="11">
      <formula>LEN(TRIM(F17))&gt;0</formula>
    </cfRule>
  </conditionalFormatting>
  <conditionalFormatting sqref="F18:N19">
    <cfRule type="containsText" dxfId="42" priority="5" operator="containsText" text="I">
      <formula>NOT(ISERROR(SEARCH("I",F18)))</formula>
    </cfRule>
  </conditionalFormatting>
  <conditionalFormatting sqref="F23:N23">
    <cfRule type="notContainsBlanks" dxfId="41" priority="4">
      <formula>LEN(TRIM(F23))&gt;0</formula>
    </cfRule>
  </conditionalFormatting>
  <conditionalFormatting sqref="F24:N25">
    <cfRule type="containsText" dxfId="40" priority="3" operator="containsText" text="a">
      <formula>NOT(ISERROR(SEARCH("a",F24)))</formula>
    </cfRule>
  </conditionalFormatting>
  <conditionalFormatting sqref="F27:N27">
    <cfRule type="notContainsBlanks" dxfId="39" priority="12">
      <formula>LEN(TRIM(F27))&gt;0</formula>
    </cfRule>
  </conditionalFormatting>
  <conditionalFormatting sqref="F28:N29">
    <cfRule type="containsText" dxfId="38" priority="1" operator="containsText" text="I">
      <formula>NOT(ISERROR(SEARCH("I",F28)))</formula>
    </cfRule>
  </conditionalFormatting>
  <hyperlinks>
    <hyperlink ref="A1:N2" location="Main!A1" display="კლინიკური მიდგომა და საკვანძო რეკომენდაციები" xr:uid="{3ED59397-2689-4D68-9D6F-85F2035101BA}"/>
    <hyperlink ref="M32:M34" location="Evidence!A1" display="I" xr:uid="{066BC1D6-6BE1-405F-B203-82F3EDD3CB51}"/>
    <hyperlink ref="N32:N34" location="Evidence!A1" display="B" xr:uid="{AC6C72FE-0F99-4288-89BC-87B3C20A94BF}"/>
    <hyperlink ref="M35:M37" location="Evidence!A1" display="I" xr:uid="{6C978741-6ADC-4B0A-A480-D1FB577051B9}"/>
    <hyperlink ref="N35:N37" location="Evidence!A1" display="B" xr:uid="{CBD73857-8105-464B-8DB5-29B58043C42A}"/>
    <hyperlink ref="M38:M40" location="Evidence!A1" display="I" xr:uid="{283068C7-ACC4-41DE-9113-D47950326E2C}"/>
    <hyperlink ref="N38:N40" location="Evidence!A1" display="B" xr:uid="{F955EC3F-C3C5-485A-9392-E717DB71A009}"/>
    <hyperlink ref="M41:M43" location="Evidence!A1" display="I" xr:uid="{01BF28D5-5159-4581-9912-5AF001CDD057}"/>
    <hyperlink ref="N41:N43" location="Evidence!A1" display="B" xr:uid="{06A7EDB3-EA9A-4792-A040-F03D9F7BE5DD}"/>
    <hyperlink ref="M44:M46" location="Evidence!A1" display="I" xr:uid="{676179C1-8F79-4566-9A5E-99DDB81931AC}"/>
    <hyperlink ref="N44:N46" location="Evidence!A1" display="B" xr:uid="{29967554-C3D1-4703-9149-35B9B012DEBE}"/>
    <hyperlink ref="M47:M49" location="Evidence!A1" display="I" xr:uid="{B6A6F81F-5872-44B4-88B0-91A6CC7BA9C6}"/>
    <hyperlink ref="N47:N49" location="Evidence!A1" display="B" xr:uid="{111F9230-B05C-44D6-91B3-82DFF39A5AE1}"/>
    <hyperlink ref="M50:M52" location="Evidence!A1" display="I" xr:uid="{2D2CE541-6327-47AC-8D2C-ACAFF4EEAD2F}"/>
    <hyperlink ref="N50:N52" location="Evidence!A1" display="B" xr:uid="{A1030992-46C9-4496-B534-315B82FF9EA9}"/>
    <hyperlink ref="M53:M55" location="Evidence!A1" display="I" xr:uid="{0D2989BB-562D-4149-A069-69E2CF84432B}"/>
    <hyperlink ref="N53:N55" location="Evidence!A1" display="B" xr:uid="{54600D51-53DD-4637-BBA8-994F15830CD7}"/>
    <hyperlink ref="M57:M59" location="Evidence!A1" display="I" xr:uid="{E9038CB6-9BB7-4FC9-B7B0-99AE5B96F257}"/>
    <hyperlink ref="N57:N59" location="Evidence!A1" display="B" xr:uid="{0EF01926-7CDF-4317-BF17-94A80DEAEDF0}"/>
    <hyperlink ref="M60:M62" location="Evidence!A1" display="I" xr:uid="{64493179-20BC-4A30-8294-0E0EA3474D5B}"/>
    <hyperlink ref="N60:N62" location="Evidence!A1" display="B" xr:uid="{5FEAE751-C9F9-45E7-9572-DCAA23432D79}"/>
    <hyperlink ref="N64:N66" location="Evidence!A1" display="B" xr:uid="{E64FCC4B-7BB1-432A-AD2D-5E1AFF4F9CD3}"/>
    <hyperlink ref="M64:M66" location="Evidence!A1" display="I" xr:uid="{BB7448F9-F1CE-4171-AD3D-A00E2B2CE40F}"/>
    <hyperlink ref="N67:N69" location="Evidence!A1" display="B" xr:uid="{C05562A3-E3F6-42BC-A260-A3A1EBC9D396}"/>
    <hyperlink ref="M67:M69" location="Evidence!A1" display="I" xr:uid="{1F7589B4-25F1-49DD-8C27-D94C9E28C900}"/>
    <hyperlink ref="M72:M74" location="Evidence!A1" display="I" xr:uid="{82974A8B-B66F-4FD5-BEFA-E9A5D418911B}"/>
    <hyperlink ref="N72:N74" location="Evidence!A1" display="B" xr:uid="{9B975831-7EF7-44EE-B37D-F7FF574AA86E}"/>
    <hyperlink ref="N75:N77" location="Evidence!A1" display="B" xr:uid="{EAD5FCB4-771C-4105-95AF-552C4FB66AF9}"/>
    <hyperlink ref="M75:M77" location="Evidence!A1" display="I" xr:uid="{DF62B6CE-8C3D-41FB-8A5B-B7D3F989E706}"/>
    <hyperlink ref="M78:M80" location="Evidence!A1" display="I" xr:uid="{83A0B119-4B4B-444F-96A4-A5B24C7FBAEF}"/>
    <hyperlink ref="N78:N80" location="Evidence!A1" display="B" xr:uid="{44B481F7-6C5F-41C5-B878-D3CD1A8B7E1F}"/>
  </hyperlinks>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4</xdr:col>
                    <xdr:colOff>0</xdr:colOff>
                    <xdr:row>6</xdr:row>
                    <xdr:rowOff>0</xdr:rowOff>
                  </from>
                  <to>
                    <xdr:col>8</xdr:col>
                    <xdr:colOff>76200</xdr:colOff>
                    <xdr:row>7</xdr:row>
                    <xdr:rowOff>12700</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3</xdr:col>
                    <xdr:colOff>685800</xdr:colOff>
                    <xdr:row>8</xdr:row>
                    <xdr:rowOff>12700</xdr:rowOff>
                  </from>
                  <to>
                    <xdr:col>8</xdr:col>
                    <xdr:colOff>88900</xdr:colOff>
                    <xdr:row>9</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48F7-55FE-426F-A13D-A743FBF8678D}">
  <dimension ref="A1:N30"/>
  <sheetViews>
    <sheetView workbookViewId="0">
      <selection activeCell="A5" sqref="A5:N7"/>
    </sheetView>
  </sheetViews>
  <sheetFormatPr defaultColWidth="9" defaultRowHeight="14.5" x14ac:dyDescent="0.35"/>
  <cols>
    <col min="1" max="16384" width="9" style="2"/>
  </cols>
  <sheetData>
    <row r="1" spans="1:14" x14ac:dyDescent="0.35">
      <c r="A1" s="92" t="s">
        <v>379</v>
      </c>
      <c r="B1" s="92"/>
      <c r="C1" s="92"/>
      <c r="D1" s="92"/>
      <c r="E1" s="92"/>
      <c r="F1" s="92"/>
      <c r="G1" s="92"/>
      <c r="H1" s="92"/>
      <c r="I1" s="92"/>
      <c r="J1" s="92"/>
      <c r="K1" s="92"/>
      <c r="L1" s="92"/>
      <c r="M1" s="92"/>
      <c r="N1" s="92"/>
    </row>
    <row r="2" spans="1:14" x14ac:dyDescent="0.35">
      <c r="A2" s="92"/>
      <c r="B2" s="92"/>
      <c r="C2" s="92"/>
      <c r="D2" s="92"/>
      <c r="E2" s="92"/>
      <c r="F2" s="92"/>
      <c r="G2" s="92"/>
      <c r="H2" s="92"/>
      <c r="I2" s="92"/>
      <c r="J2" s="92"/>
      <c r="K2" s="92"/>
      <c r="L2" s="92"/>
      <c r="M2" s="92"/>
      <c r="N2" s="92"/>
    </row>
    <row r="4" spans="1:14" x14ac:dyDescent="0.35">
      <c r="A4" s="31" t="s">
        <v>380</v>
      </c>
      <c r="B4" s="28"/>
      <c r="C4" s="28"/>
      <c r="D4" s="28"/>
      <c r="E4" s="28"/>
      <c r="F4" s="28"/>
      <c r="G4" s="28"/>
      <c r="H4" s="28"/>
      <c r="I4" s="30"/>
      <c r="J4" s="28"/>
      <c r="K4" s="28"/>
      <c r="L4" s="28"/>
      <c r="M4" s="29" t="s">
        <v>8</v>
      </c>
      <c r="N4" s="29" t="s">
        <v>30</v>
      </c>
    </row>
    <row r="5" spans="1:14" x14ac:dyDescent="0.35">
      <c r="A5" s="106" t="s">
        <v>381</v>
      </c>
      <c r="B5" s="107"/>
      <c r="C5" s="107"/>
      <c r="D5" s="107"/>
      <c r="E5" s="107"/>
      <c r="F5" s="107"/>
      <c r="G5" s="107"/>
      <c r="H5" s="107"/>
      <c r="I5" s="107"/>
      <c r="J5" s="107"/>
      <c r="K5" s="107"/>
      <c r="L5" s="108"/>
      <c r="M5" s="102" t="s">
        <v>66</v>
      </c>
      <c r="N5" s="103" t="s">
        <v>207</v>
      </c>
    </row>
    <row r="6" spans="1:14" x14ac:dyDescent="0.35">
      <c r="A6" s="109"/>
      <c r="B6" s="110"/>
      <c r="C6" s="110"/>
      <c r="D6" s="110"/>
      <c r="E6" s="110"/>
      <c r="F6" s="110"/>
      <c r="G6" s="110"/>
      <c r="H6" s="110"/>
      <c r="I6" s="110"/>
      <c r="J6" s="110"/>
      <c r="K6" s="110"/>
      <c r="L6" s="111"/>
      <c r="M6" s="102"/>
      <c r="N6" s="103"/>
    </row>
    <row r="7" spans="1:14" x14ac:dyDescent="0.35">
      <c r="A7" s="112"/>
      <c r="B7" s="113"/>
      <c r="C7" s="113"/>
      <c r="D7" s="113"/>
      <c r="E7" s="113"/>
      <c r="F7" s="113"/>
      <c r="G7" s="113"/>
      <c r="H7" s="113"/>
      <c r="I7" s="113"/>
      <c r="J7" s="113"/>
      <c r="K7" s="113"/>
      <c r="L7" s="114"/>
      <c r="M7" s="102"/>
      <c r="N7" s="103"/>
    </row>
    <row r="8" spans="1:14" x14ac:dyDescent="0.35">
      <c r="A8" s="106" t="s">
        <v>383</v>
      </c>
      <c r="B8" s="107"/>
      <c r="C8" s="107"/>
      <c r="D8" s="107"/>
      <c r="E8" s="107"/>
      <c r="F8" s="107"/>
      <c r="G8" s="107"/>
      <c r="H8" s="107"/>
      <c r="I8" s="107"/>
      <c r="J8" s="107"/>
      <c r="K8" s="107"/>
      <c r="L8" s="108"/>
      <c r="M8" s="102" t="s">
        <v>66</v>
      </c>
      <c r="N8" s="103" t="s">
        <v>207</v>
      </c>
    </row>
    <row r="9" spans="1:14" x14ac:dyDescent="0.35">
      <c r="A9" s="109"/>
      <c r="B9" s="110"/>
      <c r="C9" s="110"/>
      <c r="D9" s="110"/>
      <c r="E9" s="110"/>
      <c r="F9" s="110"/>
      <c r="G9" s="110"/>
      <c r="H9" s="110"/>
      <c r="I9" s="110"/>
      <c r="J9" s="110"/>
      <c r="K9" s="110"/>
      <c r="L9" s="111"/>
      <c r="M9" s="102"/>
      <c r="N9" s="103"/>
    </row>
    <row r="10" spans="1:14" x14ac:dyDescent="0.35">
      <c r="A10" s="112"/>
      <c r="B10" s="113"/>
      <c r="C10" s="113"/>
      <c r="D10" s="113"/>
      <c r="E10" s="113"/>
      <c r="F10" s="113"/>
      <c r="G10" s="113"/>
      <c r="H10" s="113"/>
      <c r="I10" s="113"/>
      <c r="J10" s="113"/>
      <c r="K10" s="113"/>
      <c r="L10" s="114"/>
      <c r="M10" s="102"/>
      <c r="N10" s="103"/>
    </row>
    <row r="11" spans="1:14" x14ac:dyDescent="0.35">
      <c r="A11" s="106" t="s">
        <v>382</v>
      </c>
      <c r="B11" s="107"/>
      <c r="C11" s="107"/>
      <c r="D11" s="107"/>
      <c r="E11" s="107"/>
      <c r="F11" s="107"/>
      <c r="G11" s="107"/>
      <c r="H11" s="107"/>
      <c r="I11" s="107"/>
      <c r="J11" s="107"/>
      <c r="K11" s="107"/>
      <c r="L11" s="108"/>
      <c r="M11" s="102" t="s">
        <v>66</v>
      </c>
      <c r="N11" s="103" t="s">
        <v>207</v>
      </c>
    </row>
    <row r="12" spans="1:14" x14ac:dyDescent="0.35">
      <c r="A12" s="109"/>
      <c r="B12" s="110"/>
      <c r="C12" s="110"/>
      <c r="D12" s="110"/>
      <c r="E12" s="110"/>
      <c r="F12" s="110"/>
      <c r="G12" s="110"/>
      <c r="H12" s="110"/>
      <c r="I12" s="110"/>
      <c r="J12" s="110"/>
      <c r="K12" s="110"/>
      <c r="L12" s="111"/>
      <c r="M12" s="102"/>
      <c r="N12" s="103"/>
    </row>
    <row r="13" spans="1:14" x14ac:dyDescent="0.35">
      <c r="A13" s="112"/>
      <c r="B13" s="113"/>
      <c r="C13" s="113"/>
      <c r="D13" s="113"/>
      <c r="E13" s="113"/>
      <c r="F13" s="113"/>
      <c r="G13" s="113"/>
      <c r="H13" s="113"/>
      <c r="I13" s="113"/>
      <c r="J13" s="113"/>
      <c r="K13" s="113"/>
      <c r="L13" s="114"/>
      <c r="M13" s="102"/>
      <c r="N13" s="103"/>
    </row>
    <row r="14" spans="1:14" x14ac:dyDescent="0.35">
      <c r="A14" s="106" t="s">
        <v>384</v>
      </c>
      <c r="B14" s="107"/>
      <c r="C14" s="107"/>
      <c r="D14" s="107"/>
      <c r="E14" s="107"/>
      <c r="F14" s="107"/>
      <c r="G14" s="107"/>
      <c r="H14" s="107"/>
      <c r="I14" s="107"/>
      <c r="J14" s="107"/>
      <c r="K14" s="107"/>
      <c r="L14" s="108"/>
      <c r="M14" s="100" t="s">
        <v>208</v>
      </c>
      <c r="N14" s="104" t="s">
        <v>210</v>
      </c>
    </row>
    <row r="15" spans="1:14" x14ac:dyDescent="0.35">
      <c r="A15" s="109"/>
      <c r="B15" s="110"/>
      <c r="C15" s="110"/>
      <c r="D15" s="110"/>
      <c r="E15" s="110"/>
      <c r="F15" s="110"/>
      <c r="G15" s="110"/>
      <c r="H15" s="110"/>
      <c r="I15" s="110"/>
      <c r="J15" s="110"/>
      <c r="K15" s="110"/>
      <c r="L15" s="111"/>
      <c r="M15" s="100"/>
      <c r="N15" s="104"/>
    </row>
    <row r="16" spans="1:14" x14ac:dyDescent="0.35">
      <c r="A16" s="112"/>
      <c r="B16" s="113"/>
      <c r="C16" s="113"/>
      <c r="D16" s="113"/>
      <c r="E16" s="113"/>
      <c r="F16" s="113"/>
      <c r="G16" s="113"/>
      <c r="H16" s="113"/>
      <c r="I16" s="113"/>
      <c r="J16" s="113"/>
      <c r="K16" s="113"/>
      <c r="L16" s="114"/>
      <c r="M16" s="100"/>
      <c r="N16" s="104"/>
    </row>
    <row r="17" spans="1:14" x14ac:dyDescent="0.35">
      <c r="A17" s="106" t="s">
        <v>385</v>
      </c>
      <c r="B17" s="107"/>
      <c r="C17" s="107"/>
      <c r="D17" s="107"/>
      <c r="E17" s="107"/>
      <c r="F17" s="107"/>
      <c r="G17" s="107"/>
      <c r="H17" s="107"/>
      <c r="I17" s="107"/>
      <c r="J17" s="107"/>
      <c r="K17" s="107"/>
      <c r="L17" s="108"/>
      <c r="M17" s="115" t="s">
        <v>214</v>
      </c>
      <c r="N17" s="101" t="s">
        <v>67</v>
      </c>
    </row>
    <row r="18" spans="1:14" x14ac:dyDescent="0.35">
      <c r="A18" s="109"/>
      <c r="B18" s="110"/>
      <c r="C18" s="110"/>
      <c r="D18" s="110"/>
      <c r="E18" s="110"/>
      <c r="F18" s="110"/>
      <c r="G18" s="110"/>
      <c r="H18" s="110"/>
      <c r="I18" s="110"/>
      <c r="J18" s="110"/>
      <c r="K18" s="110"/>
      <c r="L18" s="111"/>
      <c r="M18" s="115"/>
      <c r="N18" s="101"/>
    </row>
    <row r="19" spans="1:14" x14ac:dyDescent="0.35">
      <c r="A19" s="112"/>
      <c r="B19" s="113"/>
      <c r="C19" s="113"/>
      <c r="D19" s="113"/>
      <c r="E19" s="113"/>
      <c r="F19" s="113"/>
      <c r="G19" s="113"/>
      <c r="H19" s="113"/>
      <c r="I19" s="113"/>
      <c r="J19" s="113"/>
      <c r="K19" s="113"/>
      <c r="L19" s="114"/>
      <c r="M19" s="115"/>
      <c r="N19" s="101"/>
    </row>
    <row r="21" spans="1:14" x14ac:dyDescent="0.35">
      <c r="A21" s="31" t="s">
        <v>386</v>
      </c>
      <c r="B21" s="28"/>
      <c r="C21" s="28"/>
      <c r="D21" s="28"/>
      <c r="E21" s="28"/>
      <c r="F21" s="28"/>
      <c r="G21" s="28"/>
      <c r="H21" s="28"/>
      <c r="I21" s="30"/>
      <c r="J21" s="28"/>
      <c r="K21" s="28"/>
      <c r="L21" s="28"/>
      <c r="M21" s="29" t="s">
        <v>8</v>
      </c>
      <c r="N21" s="29" t="s">
        <v>30</v>
      </c>
    </row>
    <row r="22" spans="1:14" x14ac:dyDescent="0.35">
      <c r="A22" s="106" t="s">
        <v>387</v>
      </c>
      <c r="B22" s="107"/>
      <c r="C22" s="107"/>
      <c r="D22" s="107"/>
      <c r="E22" s="107"/>
      <c r="F22" s="107"/>
      <c r="G22" s="107"/>
      <c r="H22" s="107"/>
      <c r="I22" s="107"/>
      <c r="J22" s="107"/>
      <c r="K22" s="107"/>
      <c r="L22" s="108"/>
      <c r="M22" s="102" t="s">
        <v>66</v>
      </c>
      <c r="N22" s="101" t="s">
        <v>67</v>
      </c>
    </row>
    <row r="23" spans="1:14" x14ac:dyDescent="0.35">
      <c r="A23" s="109"/>
      <c r="B23" s="110"/>
      <c r="C23" s="110"/>
      <c r="D23" s="110"/>
      <c r="E23" s="110"/>
      <c r="F23" s="110"/>
      <c r="G23" s="110"/>
      <c r="H23" s="110"/>
      <c r="I23" s="110"/>
      <c r="J23" s="110"/>
      <c r="K23" s="110"/>
      <c r="L23" s="111"/>
      <c r="M23" s="102"/>
      <c r="N23" s="101"/>
    </row>
    <row r="24" spans="1:14" x14ac:dyDescent="0.35">
      <c r="A24" s="112"/>
      <c r="B24" s="113"/>
      <c r="C24" s="113"/>
      <c r="D24" s="113"/>
      <c r="E24" s="113"/>
      <c r="F24" s="113"/>
      <c r="G24" s="113"/>
      <c r="H24" s="113"/>
      <c r="I24" s="113"/>
      <c r="J24" s="113"/>
      <c r="K24" s="113"/>
      <c r="L24" s="114"/>
      <c r="M24" s="102"/>
      <c r="N24" s="101"/>
    </row>
    <row r="25" spans="1:14" x14ac:dyDescent="0.35">
      <c r="A25" s="106" t="s">
        <v>388</v>
      </c>
      <c r="B25" s="107"/>
      <c r="C25" s="107"/>
      <c r="D25" s="107"/>
      <c r="E25" s="107"/>
      <c r="F25" s="107"/>
      <c r="G25" s="107"/>
      <c r="H25" s="107"/>
      <c r="I25" s="107"/>
      <c r="J25" s="107"/>
      <c r="K25" s="107"/>
      <c r="L25" s="108"/>
      <c r="M25" s="102" t="s">
        <v>66</v>
      </c>
      <c r="N25" s="104" t="s">
        <v>210</v>
      </c>
    </row>
    <row r="26" spans="1:14" x14ac:dyDescent="0.35">
      <c r="A26" s="109"/>
      <c r="B26" s="110"/>
      <c r="C26" s="110"/>
      <c r="D26" s="110"/>
      <c r="E26" s="110"/>
      <c r="F26" s="110"/>
      <c r="G26" s="110"/>
      <c r="H26" s="110"/>
      <c r="I26" s="110"/>
      <c r="J26" s="110"/>
      <c r="K26" s="110"/>
      <c r="L26" s="111"/>
      <c r="M26" s="102"/>
      <c r="N26" s="104"/>
    </row>
    <row r="27" spans="1:14" x14ac:dyDescent="0.35">
      <c r="A27" s="112"/>
      <c r="B27" s="113"/>
      <c r="C27" s="113"/>
      <c r="D27" s="113"/>
      <c r="E27" s="113"/>
      <c r="F27" s="113"/>
      <c r="G27" s="113"/>
      <c r="H27" s="113"/>
      <c r="I27" s="113"/>
      <c r="J27" s="113"/>
      <c r="K27" s="113"/>
      <c r="L27" s="114"/>
      <c r="M27" s="102"/>
      <c r="N27" s="104"/>
    </row>
    <row r="28" spans="1:14" x14ac:dyDescent="0.35">
      <c r="A28" s="106" t="s">
        <v>389</v>
      </c>
      <c r="B28" s="107"/>
      <c r="C28" s="107"/>
      <c r="D28" s="107"/>
      <c r="E28" s="107"/>
      <c r="F28" s="107"/>
      <c r="G28" s="107"/>
      <c r="H28" s="107"/>
      <c r="I28" s="107"/>
      <c r="J28" s="107"/>
      <c r="K28" s="107"/>
      <c r="L28" s="108"/>
      <c r="M28" s="100" t="s">
        <v>208</v>
      </c>
      <c r="N28" s="104" t="s">
        <v>210</v>
      </c>
    </row>
    <row r="29" spans="1:14" x14ac:dyDescent="0.35">
      <c r="A29" s="109"/>
      <c r="B29" s="110"/>
      <c r="C29" s="110"/>
      <c r="D29" s="110"/>
      <c r="E29" s="110"/>
      <c r="F29" s="110"/>
      <c r="G29" s="110"/>
      <c r="H29" s="110"/>
      <c r="I29" s="110"/>
      <c r="J29" s="110"/>
      <c r="K29" s="110"/>
      <c r="L29" s="111"/>
      <c r="M29" s="100"/>
      <c r="N29" s="104"/>
    </row>
    <row r="30" spans="1:14" x14ac:dyDescent="0.35">
      <c r="A30" s="112"/>
      <c r="B30" s="113"/>
      <c r="C30" s="113"/>
      <c r="D30" s="113"/>
      <c r="E30" s="113"/>
      <c r="F30" s="113"/>
      <c r="G30" s="113"/>
      <c r="H30" s="113"/>
      <c r="I30" s="113"/>
      <c r="J30" s="113"/>
      <c r="K30" s="113"/>
      <c r="L30" s="114"/>
      <c r="M30" s="100"/>
      <c r="N30" s="104"/>
    </row>
  </sheetData>
  <sheetProtection algorithmName="SHA-512" hashValue="priXvCTueVfvUB6HS1/hzDhov/XmRrJa9w/V1zWR+8OPFrrZZdb3pPOjOP9lxZup6/JCt+tVwT9vz6KbCptkcQ==" saltValue="bgxU7s8HMtvkuw0L7P1QYQ==" spinCount="100000" sheet="1" objects="1" scenarios="1"/>
  <mergeCells count="25">
    <mergeCell ref="A11:L13"/>
    <mergeCell ref="M11:M13"/>
    <mergeCell ref="N11:N13"/>
    <mergeCell ref="A1:N2"/>
    <mergeCell ref="A5:L7"/>
    <mergeCell ref="M5:M7"/>
    <mergeCell ref="N5:N7"/>
    <mergeCell ref="A8:L10"/>
    <mergeCell ref="M8:M10"/>
    <mergeCell ref="N8:N10"/>
    <mergeCell ref="A14:L16"/>
    <mergeCell ref="M14:M16"/>
    <mergeCell ref="N14:N16"/>
    <mergeCell ref="A17:L19"/>
    <mergeCell ref="M17:M19"/>
    <mergeCell ref="N17:N19"/>
    <mergeCell ref="A28:L30"/>
    <mergeCell ref="M28:M30"/>
    <mergeCell ref="N28:N30"/>
    <mergeCell ref="A22:L24"/>
    <mergeCell ref="M22:M24"/>
    <mergeCell ref="N22:N24"/>
    <mergeCell ref="A25:L27"/>
    <mergeCell ref="M25:M27"/>
    <mergeCell ref="N25:N27"/>
  </mergeCells>
  <hyperlinks>
    <hyperlink ref="A1:N2" location="Main!A1" display="კლინიკური მიდგომა და საკვანძო რეკომენდაციები" xr:uid="{D87B0FBD-AF60-4BC5-A4A4-A79973645F22}"/>
    <hyperlink ref="M5:M7" location="Evidence!A1" display="I" xr:uid="{84DAB6F4-0C8B-4EBB-8453-E1AA851421E5}"/>
    <hyperlink ref="N5:N7" location="Evidence!A1" display="B" xr:uid="{4034F1EA-8E5A-456C-805A-4846E38B7453}"/>
    <hyperlink ref="M8:M10" location="Evidence!A1" display="I" xr:uid="{313EFAD1-3876-4248-8712-D8833B8BEA39}"/>
    <hyperlink ref="N8:N10" location="Evidence!A1" display="B" xr:uid="{0E733865-F27A-41B2-AB20-C3633C665312}"/>
    <hyperlink ref="M11:M13" location="Evidence!A1" display="I" xr:uid="{DE31520D-64E9-422E-83CB-72E93AD4F9A9}"/>
    <hyperlink ref="N11:N13" location="Evidence!A1" display="B" xr:uid="{0A90B0B4-5EA3-45CA-9507-D15A05CD81C2}"/>
    <hyperlink ref="N14:N16" location="Evidence!A1" display="B" xr:uid="{70AC2F57-929D-41F8-9248-35EB0885A37B}"/>
    <hyperlink ref="M14:M16" location="Evidence!A1" display="I" xr:uid="{90383FDE-3BE9-449E-9591-35B466415FB3}"/>
    <hyperlink ref="M17:M19" location="Evidence!A1" display="I" xr:uid="{C72C7EA9-7EB6-4B12-B141-DF50311D85D4}"/>
    <hyperlink ref="N17:N19" location="Evidence!A1" display="B" xr:uid="{DAB5808D-6690-4B4F-9CEC-7494AE0628F3}"/>
    <hyperlink ref="M22:M24" location="Evidence!A1" display="I" xr:uid="{74857523-7BDC-472D-A633-E4773DA4E60E}"/>
    <hyperlink ref="N22:N24" location="Evidence!A1" display="B" xr:uid="{FCCFCB0D-3BA7-4A47-BE86-C2A9BD0CB0A2}"/>
    <hyperlink ref="M25:M27" location="Evidence!A1" display="I" xr:uid="{AD9D6F40-A42F-4BD8-A908-565187F96F91}"/>
    <hyperlink ref="N25:N27" location="Evidence!A1" display="B" xr:uid="{EE414BB2-7460-437D-BFA6-95E9F48499D6}"/>
    <hyperlink ref="N28:N30" location="Evidence!A1" display="B" xr:uid="{FEBD00C0-B4D4-42DF-BB50-92EA79CD37E6}"/>
    <hyperlink ref="M28:M30" location="Evidence!A1" display="I" xr:uid="{615E9DA6-C6EF-431F-AAFC-C05E63BDCF59}"/>
  </hyperlink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93E0-042F-4F83-9D86-80E7B5206A25}">
  <dimension ref="A1:O102"/>
  <sheetViews>
    <sheetView workbookViewId="0">
      <selection activeCell="A97" sqref="A97:N99"/>
    </sheetView>
  </sheetViews>
  <sheetFormatPr defaultColWidth="9" defaultRowHeight="14.5" x14ac:dyDescent="0.35"/>
  <cols>
    <col min="1" max="14" width="9" style="2"/>
    <col min="15" max="15" width="9" style="5"/>
    <col min="16" max="16384" width="9" style="2"/>
  </cols>
  <sheetData>
    <row r="1" spans="1:15" x14ac:dyDescent="0.35">
      <c r="A1" s="92" t="s">
        <v>215</v>
      </c>
      <c r="B1" s="92"/>
      <c r="C1" s="92"/>
      <c r="D1" s="92"/>
      <c r="E1" s="92"/>
      <c r="F1" s="92"/>
      <c r="G1" s="92"/>
      <c r="H1" s="92"/>
      <c r="I1" s="92"/>
      <c r="J1" s="92"/>
      <c r="K1" s="92"/>
      <c r="L1" s="92"/>
      <c r="M1" s="92"/>
      <c r="N1" s="92"/>
    </row>
    <row r="2" spans="1:15" x14ac:dyDescent="0.35">
      <c r="A2" s="92"/>
      <c r="B2" s="92"/>
      <c r="C2" s="92"/>
      <c r="D2" s="92"/>
      <c r="E2" s="92"/>
      <c r="F2" s="92"/>
      <c r="G2" s="92"/>
      <c r="H2" s="92"/>
      <c r="I2" s="92"/>
      <c r="J2" s="92"/>
      <c r="K2" s="92"/>
      <c r="L2" s="92"/>
      <c r="M2" s="92"/>
      <c r="N2" s="92"/>
    </row>
    <row r="4" spans="1:15" x14ac:dyDescent="0.35">
      <c r="A4" s="166" t="s">
        <v>393</v>
      </c>
      <c r="B4" s="166"/>
      <c r="C4" s="166"/>
      <c r="D4" s="166"/>
      <c r="E4" s="166"/>
      <c r="F4" s="166"/>
      <c r="G4" s="166" t="s">
        <v>394</v>
      </c>
      <c r="H4" s="166"/>
      <c r="I4" s="166"/>
      <c r="J4" s="56" t="s">
        <v>395</v>
      </c>
      <c r="K4" s="167" t="s">
        <v>396</v>
      </c>
      <c r="L4" s="168"/>
      <c r="M4" s="168"/>
      <c r="N4" s="169"/>
    </row>
    <row r="5" spans="1:15" ht="15" customHeight="1" x14ac:dyDescent="0.35">
      <c r="A5" s="172">
        <v>1</v>
      </c>
      <c r="B5" s="172"/>
      <c r="C5" s="172"/>
      <c r="D5" s="172"/>
      <c r="E5" s="172"/>
      <c r="F5" s="172"/>
      <c r="G5" s="171" t="str">
        <f>IF(A5=2,O9,IF(A5=3,O9,IF(A5=4,O9,"")))</f>
        <v/>
      </c>
      <c r="H5" s="171"/>
      <c r="I5" s="171"/>
      <c r="J5" s="170" t="str">
        <f>IF(A5=2,O10,IF(A5=3,O12,IF(A5=4,O13,"")))</f>
        <v/>
      </c>
      <c r="K5" s="171" t="str">
        <f>IF(A5=2,O11,IF(A5=3,O14,IF(A5=4,O14,"")))</f>
        <v/>
      </c>
      <c r="L5" s="171"/>
      <c r="M5" s="171"/>
      <c r="N5" s="171"/>
      <c r="O5" s="5" t="s">
        <v>390</v>
      </c>
    </row>
    <row r="6" spans="1:15" x14ac:dyDescent="0.35">
      <c r="A6" s="172"/>
      <c r="B6" s="172"/>
      <c r="C6" s="172"/>
      <c r="D6" s="172"/>
      <c r="E6" s="172"/>
      <c r="F6" s="172"/>
      <c r="G6" s="171"/>
      <c r="H6" s="171"/>
      <c r="I6" s="171"/>
      <c r="J6" s="170"/>
      <c r="K6" s="171"/>
      <c r="L6" s="171"/>
      <c r="M6" s="171"/>
      <c r="N6" s="171"/>
      <c r="O6" s="5" t="s">
        <v>391</v>
      </c>
    </row>
    <row r="7" spans="1:15" x14ac:dyDescent="0.35">
      <c r="A7" s="172"/>
      <c r="B7" s="172"/>
      <c r="C7" s="172"/>
      <c r="D7" s="172"/>
      <c r="E7" s="172"/>
      <c r="F7" s="172"/>
      <c r="G7" s="171"/>
      <c r="H7" s="171"/>
      <c r="I7" s="171"/>
      <c r="J7" s="170"/>
      <c r="K7" s="171"/>
      <c r="L7" s="171"/>
      <c r="M7" s="171"/>
      <c r="N7" s="171"/>
      <c r="O7" s="5" t="s">
        <v>392</v>
      </c>
    </row>
    <row r="8" spans="1:15" x14ac:dyDescent="0.35">
      <c r="A8" s="172"/>
      <c r="B8" s="172"/>
      <c r="C8" s="172"/>
      <c r="D8" s="172"/>
      <c r="E8" s="172"/>
      <c r="F8" s="172"/>
      <c r="G8" s="171"/>
      <c r="H8" s="171"/>
      <c r="I8" s="171"/>
      <c r="J8" s="170"/>
      <c r="K8" s="171"/>
      <c r="L8" s="171"/>
      <c r="M8" s="171"/>
      <c r="N8" s="171"/>
    </row>
    <row r="9" spans="1:15" x14ac:dyDescent="0.35">
      <c r="A9" s="172"/>
      <c r="B9" s="172"/>
      <c r="C9" s="172"/>
      <c r="D9" s="172"/>
      <c r="E9" s="172"/>
      <c r="F9" s="172"/>
      <c r="G9" s="171"/>
      <c r="H9" s="171"/>
      <c r="I9" s="171"/>
      <c r="J9" s="170"/>
      <c r="K9" s="171"/>
      <c r="L9" s="171"/>
      <c r="M9" s="171"/>
      <c r="N9" s="171"/>
      <c r="O9" s="5" t="s">
        <v>398</v>
      </c>
    </row>
    <row r="10" spans="1:15" x14ac:dyDescent="0.35">
      <c r="A10" s="172"/>
      <c r="B10" s="172"/>
      <c r="C10" s="172"/>
      <c r="D10" s="172"/>
      <c r="E10" s="172"/>
      <c r="F10" s="172"/>
      <c r="G10" s="171"/>
      <c r="H10" s="171"/>
      <c r="I10" s="171"/>
      <c r="J10" s="170"/>
      <c r="K10" s="171"/>
      <c r="L10" s="171"/>
      <c r="M10" s="171"/>
      <c r="N10" s="171"/>
      <c r="O10" s="5" t="s">
        <v>397</v>
      </c>
    </row>
    <row r="11" spans="1:15" x14ac:dyDescent="0.35">
      <c r="A11" s="57"/>
      <c r="B11" s="57"/>
      <c r="C11" s="57"/>
      <c r="D11" s="57"/>
      <c r="E11" s="57"/>
      <c r="F11" s="57"/>
      <c r="G11" s="9"/>
      <c r="H11" s="9"/>
      <c r="I11" s="9"/>
      <c r="J11" s="7"/>
      <c r="K11" s="9"/>
      <c r="L11" s="9"/>
      <c r="M11" s="9"/>
      <c r="N11" s="9"/>
      <c r="O11" s="5" t="s">
        <v>401</v>
      </c>
    </row>
    <row r="12" spans="1:15" x14ac:dyDescent="0.35">
      <c r="A12" s="31" t="s">
        <v>403</v>
      </c>
      <c r="B12" s="28"/>
      <c r="C12" s="28"/>
      <c r="D12" s="28"/>
      <c r="E12" s="28"/>
      <c r="F12" s="28"/>
      <c r="G12" s="28"/>
      <c r="H12" s="28"/>
      <c r="I12" s="30"/>
      <c r="J12" s="28"/>
      <c r="K12" s="28"/>
      <c r="L12" s="28"/>
      <c r="M12" s="29" t="s">
        <v>8</v>
      </c>
      <c r="N12" s="29" t="s">
        <v>30</v>
      </c>
      <c r="O12" s="5" t="s">
        <v>399</v>
      </c>
    </row>
    <row r="13" spans="1:15" x14ac:dyDescent="0.35">
      <c r="A13" s="106" t="s">
        <v>404</v>
      </c>
      <c r="B13" s="107"/>
      <c r="C13" s="107"/>
      <c r="D13" s="107"/>
      <c r="E13" s="107"/>
      <c r="F13" s="107"/>
      <c r="G13" s="107"/>
      <c r="H13" s="107"/>
      <c r="I13" s="107"/>
      <c r="J13" s="107"/>
      <c r="K13" s="107"/>
      <c r="L13" s="108"/>
      <c r="M13" s="102" t="s">
        <v>66</v>
      </c>
      <c r="N13" s="101" t="s">
        <v>67</v>
      </c>
      <c r="O13" s="5" t="s">
        <v>400</v>
      </c>
    </row>
    <row r="14" spans="1:15" x14ac:dyDescent="0.35">
      <c r="A14" s="109"/>
      <c r="B14" s="110"/>
      <c r="C14" s="110"/>
      <c r="D14" s="110"/>
      <c r="E14" s="110"/>
      <c r="F14" s="110"/>
      <c r="G14" s="110"/>
      <c r="H14" s="110"/>
      <c r="I14" s="110"/>
      <c r="J14" s="110"/>
      <c r="K14" s="110"/>
      <c r="L14" s="111"/>
      <c r="M14" s="102"/>
      <c r="N14" s="101"/>
      <c r="O14" s="5" t="s">
        <v>402</v>
      </c>
    </row>
    <row r="15" spans="1:15" x14ac:dyDescent="0.35">
      <c r="A15" s="112"/>
      <c r="B15" s="113"/>
      <c r="C15" s="113"/>
      <c r="D15" s="113"/>
      <c r="E15" s="113"/>
      <c r="F15" s="113"/>
      <c r="G15" s="113"/>
      <c r="H15" s="113"/>
      <c r="I15" s="113"/>
      <c r="J15" s="113"/>
      <c r="K15" s="113"/>
      <c r="L15" s="114"/>
      <c r="M15" s="102"/>
      <c r="N15" s="101"/>
    </row>
    <row r="16" spans="1:15" x14ac:dyDescent="0.35">
      <c r="A16" s="106" t="s">
        <v>405</v>
      </c>
      <c r="B16" s="107"/>
      <c r="C16" s="107"/>
      <c r="D16" s="107"/>
      <c r="E16" s="107"/>
      <c r="F16" s="107"/>
      <c r="G16" s="107"/>
      <c r="H16" s="107"/>
      <c r="I16" s="107"/>
      <c r="J16" s="107"/>
      <c r="K16" s="107"/>
      <c r="L16" s="108"/>
      <c r="M16" s="102" t="s">
        <v>66</v>
      </c>
      <c r="N16" s="104" t="s">
        <v>210</v>
      </c>
    </row>
    <row r="17" spans="1:15" x14ac:dyDescent="0.35">
      <c r="A17" s="109"/>
      <c r="B17" s="110"/>
      <c r="C17" s="110"/>
      <c r="D17" s="110"/>
      <c r="E17" s="110"/>
      <c r="F17" s="110"/>
      <c r="G17" s="110"/>
      <c r="H17" s="110"/>
      <c r="I17" s="110"/>
      <c r="J17" s="110"/>
      <c r="K17" s="110"/>
      <c r="L17" s="111"/>
      <c r="M17" s="102"/>
      <c r="N17" s="104"/>
    </row>
    <row r="18" spans="1:15" x14ac:dyDescent="0.35">
      <c r="A18" s="112"/>
      <c r="B18" s="113"/>
      <c r="C18" s="113"/>
      <c r="D18" s="113"/>
      <c r="E18" s="113"/>
      <c r="F18" s="113"/>
      <c r="G18" s="113"/>
      <c r="H18" s="113"/>
      <c r="I18" s="113"/>
      <c r="J18" s="113"/>
      <c r="K18" s="113"/>
      <c r="L18" s="114"/>
      <c r="M18" s="102"/>
      <c r="N18" s="104"/>
    </row>
    <row r="19" spans="1:15" x14ac:dyDescent="0.35">
      <c r="A19" s="106" t="s">
        <v>406</v>
      </c>
      <c r="B19" s="107"/>
      <c r="C19" s="107"/>
      <c r="D19" s="107"/>
      <c r="E19" s="107"/>
      <c r="F19" s="107"/>
      <c r="G19" s="107"/>
      <c r="H19" s="107"/>
      <c r="I19" s="107"/>
      <c r="J19" s="107"/>
      <c r="K19" s="107"/>
      <c r="L19" s="108"/>
      <c r="M19" s="102" t="s">
        <v>66</v>
      </c>
      <c r="N19" s="104" t="s">
        <v>210</v>
      </c>
    </row>
    <row r="20" spans="1:15" x14ac:dyDescent="0.35">
      <c r="A20" s="109"/>
      <c r="B20" s="110"/>
      <c r="C20" s="110"/>
      <c r="D20" s="110"/>
      <c r="E20" s="110"/>
      <c r="F20" s="110"/>
      <c r="G20" s="110"/>
      <c r="H20" s="110"/>
      <c r="I20" s="110"/>
      <c r="J20" s="110"/>
      <c r="K20" s="110"/>
      <c r="L20" s="111"/>
      <c r="M20" s="102"/>
      <c r="N20" s="104"/>
    </row>
    <row r="21" spans="1:15" x14ac:dyDescent="0.35">
      <c r="A21" s="112"/>
      <c r="B21" s="113"/>
      <c r="C21" s="113"/>
      <c r="D21" s="113"/>
      <c r="E21" s="113"/>
      <c r="F21" s="113"/>
      <c r="G21" s="113"/>
      <c r="H21" s="113"/>
      <c r="I21" s="113"/>
      <c r="J21" s="113"/>
      <c r="K21" s="113"/>
      <c r="L21" s="114"/>
      <c r="M21" s="102"/>
      <c r="N21" s="104"/>
    </row>
    <row r="32" spans="1:15" x14ac:dyDescent="0.35">
      <c r="A32" s="164" t="str">
        <f>IF(A5=4,O32,"")</f>
        <v/>
      </c>
      <c r="B32" s="165"/>
      <c r="C32" s="165"/>
      <c r="D32" s="165"/>
      <c r="E32" s="165"/>
      <c r="F32" s="165"/>
      <c r="G32" s="165"/>
      <c r="H32" s="165"/>
      <c r="I32" s="165"/>
      <c r="J32" s="165"/>
      <c r="K32" s="165"/>
      <c r="L32" s="165"/>
      <c r="M32" s="38" t="str">
        <f>IF(A5=4,"კლასი","")</f>
        <v/>
      </c>
      <c r="N32" s="38" t="str">
        <f>IF(A5=4,"დონე","")</f>
        <v/>
      </c>
      <c r="O32" s="5" t="s">
        <v>407</v>
      </c>
    </row>
    <row r="33" spans="1:15" x14ac:dyDescent="0.35">
      <c r="A33" s="110" t="str">
        <f>IF(A5=4,O33,IF(A5=2,O42,IF(A5=3,O43,"")))</f>
        <v/>
      </c>
      <c r="B33" s="110"/>
      <c r="C33" s="110"/>
      <c r="D33" s="110"/>
      <c r="E33" s="110"/>
      <c r="F33" s="110"/>
      <c r="G33" s="110"/>
      <c r="H33" s="110"/>
      <c r="I33" s="110"/>
      <c r="J33" s="110"/>
      <c r="K33" s="110"/>
      <c r="L33" s="110"/>
      <c r="M33" s="118" t="str">
        <f>IF(A5=4,"I",IF(A5=2,"I",IF(A5=3,"I","")))</f>
        <v/>
      </c>
      <c r="N33" s="118" t="str">
        <f>IF(A5=4,"A",IF(A5=2,"A",IF(A5=3,"A","")))</f>
        <v/>
      </c>
      <c r="O33" s="5" t="s">
        <v>408</v>
      </c>
    </row>
    <row r="34" spans="1:15" x14ac:dyDescent="0.35">
      <c r="A34" s="110"/>
      <c r="B34" s="110"/>
      <c r="C34" s="110"/>
      <c r="D34" s="110"/>
      <c r="E34" s="110"/>
      <c r="F34" s="110"/>
      <c r="G34" s="110"/>
      <c r="H34" s="110"/>
      <c r="I34" s="110"/>
      <c r="J34" s="110"/>
      <c r="K34" s="110"/>
      <c r="L34" s="110"/>
      <c r="M34" s="118"/>
      <c r="N34" s="118"/>
      <c r="O34" s="5" t="s">
        <v>409</v>
      </c>
    </row>
    <row r="35" spans="1:15" x14ac:dyDescent="0.35">
      <c r="A35" s="110"/>
      <c r="B35" s="110"/>
      <c r="C35" s="110"/>
      <c r="D35" s="110"/>
      <c r="E35" s="110"/>
      <c r="F35" s="110"/>
      <c r="G35" s="110"/>
      <c r="H35" s="110"/>
      <c r="I35" s="110"/>
      <c r="J35" s="110"/>
      <c r="K35" s="110"/>
      <c r="L35" s="110"/>
      <c r="M35" s="118"/>
      <c r="N35" s="118"/>
      <c r="O35" s="5" t="s">
        <v>410</v>
      </c>
    </row>
    <row r="36" spans="1:15" x14ac:dyDescent="0.35">
      <c r="A36" s="110" t="str">
        <f>IF(A5=4,O34,IF(A5=2,O44,IF(A5=3,O45,"")))</f>
        <v/>
      </c>
      <c r="B36" s="110"/>
      <c r="C36" s="110"/>
      <c r="D36" s="110"/>
      <c r="E36" s="110"/>
      <c r="F36" s="110"/>
      <c r="G36" s="110"/>
      <c r="H36" s="110"/>
      <c r="I36" s="110"/>
      <c r="J36" s="110"/>
      <c r="K36" s="110"/>
      <c r="L36" s="110"/>
      <c r="M36" s="118" t="str">
        <f>IF(A5=4,"I",IF(A5=2,"I",IF(A5=3,"I","")))</f>
        <v/>
      </c>
      <c r="N36" s="118" t="str">
        <f>IF(A5=4,"A",IF(A5=2,"C",IF(A5=3,"C","")))</f>
        <v/>
      </c>
      <c r="O36" s="5" t="s">
        <v>411</v>
      </c>
    </row>
    <row r="37" spans="1:15" x14ac:dyDescent="0.35">
      <c r="A37" s="110"/>
      <c r="B37" s="110"/>
      <c r="C37" s="110"/>
      <c r="D37" s="110"/>
      <c r="E37" s="110"/>
      <c r="F37" s="110"/>
      <c r="G37" s="110"/>
      <c r="H37" s="110"/>
      <c r="I37" s="110"/>
      <c r="J37" s="110"/>
      <c r="K37" s="110"/>
      <c r="L37" s="110"/>
      <c r="M37" s="118"/>
      <c r="N37" s="118"/>
      <c r="O37" s="5" t="s">
        <v>412</v>
      </c>
    </row>
    <row r="38" spans="1:15" x14ac:dyDescent="0.35">
      <c r="A38" s="110"/>
      <c r="B38" s="110"/>
      <c r="C38" s="110"/>
      <c r="D38" s="110"/>
      <c r="E38" s="110"/>
      <c r="F38" s="110"/>
      <c r="G38" s="110"/>
      <c r="H38" s="110"/>
      <c r="I38" s="110"/>
      <c r="J38" s="110"/>
      <c r="K38" s="110"/>
      <c r="L38" s="110"/>
      <c r="M38" s="118"/>
      <c r="N38" s="118"/>
      <c r="O38" s="5" t="s">
        <v>413</v>
      </c>
    </row>
    <row r="39" spans="1:15" x14ac:dyDescent="0.35">
      <c r="A39" s="110" t="str">
        <f>IF(A5=4,O35,"")</f>
        <v/>
      </c>
      <c r="B39" s="110"/>
      <c r="C39" s="110"/>
      <c r="D39" s="110"/>
      <c r="E39" s="110"/>
      <c r="F39" s="110"/>
      <c r="G39" s="110"/>
      <c r="H39" s="110"/>
      <c r="I39" s="110"/>
      <c r="J39" s="110"/>
      <c r="K39" s="110"/>
      <c r="L39" s="110"/>
      <c r="M39" s="118" t="str">
        <f>IF(A5=4,"I","")</f>
        <v/>
      </c>
      <c r="N39" s="118" t="str">
        <f>IF(A5=4,"A","")</f>
        <v/>
      </c>
      <c r="O39" s="5" t="s">
        <v>414</v>
      </c>
    </row>
    <row r="40" spans="1:15" x14ac:dyDescent="0.35">
      <c r="A40" s="110"/>
      <c r="B40" s="110"/>
      <c r="C40" s="110"/>
      <c r="D40" s="110"/>
      <c r="E40" s="110"/>
      <c r="F40" s="110"/>
      <c r="G40" s="110"/>
      <c r="H40" s="110"/>
      <c r="I40" s="110"/>
      <c r="J40" s="110"/>
      <c r="K40" s="110"/>
      <c r="L40" s="110"/>
      <c r="M40" s="118"/>
      <c r="N40" s="118"/>
      <c r="O40" s="5" t="s">
        <v>415</v>
      </c>
    </row>
    <row r="41" spans="1:15" x14ac:dyDescent="0.35">
      <c r="A41" s="110"/>
      <c r="B41" s="110"/>
      <c r="C41" s="110"/>
      <c r="D41" s="110"/>
      <c r="E41" s="110"/>
      <c r="F41" s="110"/>
      <c r="G41" s="110"/>
      <c r="H41" s="110"/>
      <c r="I41" s="110"/>
      <c r="J41" s="110"/>
      <c r="K41" s="110"/>
      <c r="L41" s="110"/>
      <c r="M41" s="118"/>
      <c r="N41" s="118"/>
    </row>
    <row r="42" spans="1:15" x14ac:dyDescent="0.35">
      <c r="A42" s="110" t="str">
        <f>IF(A5=4,O36,"")</f>
        <v/>
      </c>
      <c r="B42" s="110"/>
      <c r="C42" s="110"/>
      <c r="D42" s="110"/>
      <c r="E42" s="110"/>
      <c r="F42" s="110"/>
      <c r="G42" s="110"/>
      <c r="H42" s="110"/>
      <c r="I42" s="110"/>
      <c r="J42" s="110"/>
      <c r="K42" s="110"/>
      <c r="L42" s="110"/>
      <c r="M42" s="118" t="str">
        <f>IF(A5=4,"I","")</f>
        <v/>
      </c>
      <c r="N42" s="118" t="str">
        <f>IF(A5=4,"A","")</f>
        <v/>
      </c>
      <c r="O42" s="5" t="s">
        <v>416</v>
      </c>
    </row>
    <row r="43" spans="1:15" x14ac:dyDescent="0.35">
      <c r="A43" s="110"/>
      <c r="B43" s="110"/>
      <c r="C43" s="110"/>
      <c r="D43" s="110"/>
      <c r="E43" s="110"/>
      <c r="F43" s="110"/>
      <c r="G43" s="110"/>
      <c r="H43" s="110"/>
      <c r="I43" s="110"/>
      <c r="J43" s="110"/>
      <c r="K43" s="110"/>
      <c r="L43" s="110"/>
      <c r="M43" s="118"/>
      <c r="N43" s="118"/>
      <c r="O43" s="5" t="s">
        <v>417</v>
      </c>
    </row>
    <row r="44" spans="1:15" x14ac:dyDescent="0.35">
      <c r="A44" s="110"/>
      <c r="B44" s="110"/>
      <c r="C44" s="110"/>
      <c r="D44" s="110"/>
      <c r="E44" s="110"/>
      <c r="F44" s="110"/>
      <c r="G44" s="110"/>
      <c r="H44" s="110"/>
      <c r="I44" s="110"/>
      <c r="J44" s="110"/>
      <c r="K44" s="110"/>
      <c r="L44" s="110"/>
      <c r="M44" s="118"/>
      <c r="N44" s="118"/>
      <c r="O44" s="5" t="s">
        <v>418</v>
      </c>
    </row>
    <row r="45" spans="1:15" x14ac:dyDescent="0.35">
      <c r="A45" s="110" t="str">
        <f>IF(A5=4,O37,"")</f>
        <v/>
      </c>
      <c r="B45" s="110"/>
      <c r="C45" s="110"/>
      <c r="D45" s="110"/>
      <c r="E45" s="110"/>
      <c r="F45" s="110"/>
      <c r="G45" s="110"/>
      <c r="H45" s="110"/>
      <c r="I45" s="110"/>
      <c r="J45" s="110"/>
      <c r="K45" s="110"/>
      <c r="L45" s="110"/>
      <c r="M45" s="118" t="str">
        <f>IF(A5=4,"I","")</f>
        <v/>
      </c>
      <c r="N45" s="118" t="str">
        <f>IF(A5=4,"A","")</f>
        <v/>
      </c>
      <c r="O45" s="5" t="s">
        <v>419</v>
      </c>
    </row>
    <row r="46" spans="1:15" x14ac:dyDescent="0.35">
      <c r="A46" s="110"/>
      <c r="B46" s="110"/>
      <c r="C46" s="110"/>
      <c r="D46" s="110"/>
      <c r="E46" s="110"/>
      <c r="F46" s="110"/>
      <c r="G46" s="110"/>
      <c r="H46" s="110"/>
      <c r="I46" s="110"/>
      <c r="J46" s="110"/>
      <c r="K46" s="110"/>
      <c r="L46" s="110"/>
      <c r="M46" s="118"/>
      <c r="N46" s="118"/>
    </row>
    <row r="47" spans="1:15" x14ac:dyDescent="0.35">
      <c r="A47" s="110"/>
      <c r="B47" s="110"/>
      <c r="C47" s="110"/>
      <c r="D47" s="110"/>
      <c r="E47" s="110"/>
      <c r="F47" s="110"/>
      <c r="G47" s="110"/>
      <c r="H47" s="110"/>
      <c r="I47" s="110"/>
      <c r="J47" s="110"/>
      <c r="K47" s="110"/>
      <c r="L47" s="110"/>
      <c r="M47" s="118"/>
      <c r="N47" s="118"/>
    </row>
    <row r="48" spans="1:15" x14ac:dyDescent="0.35">
      <c r="A48" s="110" t="str">
        <f>IF(A5=4,O38,"")</f>
        <v/>
      </c>
      <c r="B48" s="110"/>
      <c r="C48" s="110"/>
      <c r="D48" s="110"/>
      <c r="E48" s="110"/>
      <c r="F48" s="110"/>
      <c r="G48" s="110"/>
      <c r="H48" s="110"/>
      <c r="I48" s="110"/>
      <c r="J48" s="110"/>
      <c r="K48" s="110"/>
      <c r="L48" s="110"/>
      <c r="M48" s="118" t="str">
        <f>IF(A5=4,"I","")</f>
        <v/>
      </c>
      <c r="N48" s="118" t="str">
        <f>IF(A5=4,"C","")</f>
        <v/>
      </c>
    </row>
    <row r="49" spans="1:14" x14ac:dyDescent="0.35">
      <c r="A49" s="110"/>
      <c r="B49" s="110"/>
      <c r="C49" s="110"/>
      <c r="D49" s="110"/>
      <c r="E49" s="110"/>
      <c r="F49" s="110"/>
      <c r="G49" s="110"/>
      <c r="H49" s="110"/>
      <c r="I49" s="110"/>
      <c r="J49" s="110"/>
      <c r="K49" s="110"/>
      <c r="L49" s="110"/>
      <c r="M49" s="118"/>
      <c r="N49" s="118"/>
    </row>
    <row r="50" spans="1:14" x14ac:dyDescent="0.35">
      <c r="A50" s="110"/>
      <c r="B50" s="110"/>
      <c r="C50" s="110"/>
      <c r="D50" s="110"/>
      <c r="E50" s="110"/>
      <c r="F50" s="110"/>
      <c r="G50" s="110"/>
      <c r="H50" s="110"/>
      <c r="I50" s="110"/>
      <c r="J50" s="110"/>
      <c r="K50" s="110"/>
      <c r="L50" s="110"/>
      <c r="M50" s="118"/>
      <c r="N50" s="118"/>
    </row>
    <row r="51" spans="1:14" ht="15" customHeight="1" x14ac:dyDescent="0.35">
      <c r="A51" s="110" t="str">
        <f>IF(A5=4,O39,"")</f>
        <v/>
      </c>
      <c r="B51" s="110"/>
      <c r="C51" s="110"/>
      <c r="D51" s="110"/>
      <c r="E51" s="110"/>
      <c r="F51" s="110"/>
      <c r="G51" s="110"/>
      <c r="H51" s="110"/>
      <c r="I51" s="110"/>
      <c r="J51" s="110"/>
      <c r="K51" s="110"/>
      <c r="L51" s="110"/>
      <c r="M51" s="118" t="str">
        <f>IF(A5=4,"IIa","")</f>
        <v/>
      </c>
      <c r="N51" s="118" t="str">
        <f>IF(A5=4,"B","")</f>
        <v/>
      </c>
    </row>
    <row r="52" spans="1:14" x14ac:dyDescent="0.35">
      <c r="A52" s="110"/>
      <c r="B52" s="110"/>
      <c r="C52" s="110"/>
      <c r="D52" s="110"/>
      <c r="E52" s="110"/>
      <c r="F52" s="110"/>
      <c r="G52" s="110"/>
      <c r="H52" s="110"/>
      <c r="I52" s="110"/>
      <c r="J52" s="110"/>
      <c r="K52" s="110"/>
      <c r="L52" s="110"/>
      <c r="M52" s="118"/>
      <c r="N52" s="118"/>
    </row>
    <row r="53" spans="1:14" x14ac:dyDescent="0.35">
      <c r="A53" s="110"/>
      <c r="B53" s="110"/>
      <c r="C53" s="110"/>
      <c r="D53" s="110"/>
      <c r="E53" s="110"/>
      <c r="F53" s="110"/>
      <c r="G53" s="110"/>
      <c r="H53" s="110"/>
      <c r="I53" s="110"/>
      <c r="J53" s="110"/>
      <c r="K53" s="110"/>
      <c r="L53" s="110"/>
      <c r="M53" s="118"/>
      <c r="N53" s="118"/>
    </row>
    <row r="54" spans="1:14" x14ac:dyDescent="0.35">
      <c r="A54" s="110"/>
      <c r="B54" s="110"/>
      <c r="C54" s="110"/>
      <c r="D54" s="110"/>
      <c r="E54" s="110"/>
      <c r="F54" s="110"/>
      <c r="G54" s="110"/>
      <c r="H54" s="110"/>
      <c r="I54" s="110"/>
      <c r="J54" s="110"/>
      <c r="K54" s="110"/>
      <c r="L54" s="110"/>
      <c r="M54" s="118"/>
      <c r="N54" s="118"/>
    </row>
    <row r="55" spans="1:14" x14ac:dyDescent="0.35">
      <c r="A55" s="110" t="str">
        <f>IF(A5=4,O40,"")</f>
        <v/>
      </c>
      <c r="B55" s="110"/>
      <c r="C55" s="110"/>
      <c r="D55" s="110"/>
      <c r="E55" s="110"/>
      <c r="F55" s="110"/>
      <c r="G55" s="110"/>
      <c r="H55" s="110"/>
      <c r="I55" s="110"/>
      <c r="J55" s="110"/>
      <c r="K55" s="110"/>
      <c r="L55" s="110"/>
      <c r="M55" s="118" t="str">
        <f>IF(A5=4,"IIb","")</f>
        <v/>
      </c>
      <c r="N55" s="118" t="str">
        <f>IF(A5=4,"B","")</f>
        <v/>
      </c>
    </row>
    <row r="56" spans="1:14" x14ac:dyDescent="0.35">
      <c r="A56" s="110"/>
      <c r="B56" s="110"/>
      <c r="C56" s="110"/>
      <c r="D56" s="110"/>
      <c r="E56" s="110"/>
      <c r="F56" s="110"/>
      <c r="G56" s="110"/>
      <c r="H56" s="110"/>
      <c r="I56" s="110"/>
      <c r="J56" s="110"/>
      <c r="K56" s="110"/>
      <c r="L56" s="110"/>
      <c r="M56" s="118"/>
      <c r="N56" s="118"/>
    </row>
    <row r="57" spans="1:14" x14ac:dyDescent="0.35">
      <c r="A57" s="110"/>
      <c r="B57" s="110"/>
      <c r="C57" s="110"/>
      <c r="D57" s="110"/>
      <c r="E57" s="110"/>
      <c r="F57" s="110"/>
      <c r="G57" s="110"/>
      <c r="H57" s="110"/>
      <c r="I57" s="110"/>
      <c r="J57" s="110"/>
      <c r="K57" s="110"/>
      <c r="L57" s="110"/>
      <c r="M57" s="118"/>
      <c r="N57" s="118"/>
    </row>
    <row r="63" spans="1:14" ht="15" customHeight="1" x14ac:dyDescent="0.35">
      <c r="A63" s="174" t="s">
        <v>420</v>
      </c>
      <c r="B63" s="174"/>
      <c r="C63" s="174"/>
      <c r="D63" s="174"/>
      <c r="E63" s="174"/>
      <c r="F63" s="174"/>
      <c r="G63" s="174"/>
      <c r="H63" s="174"/>
      <c r="I63" s="174"/>
      <c r="J63" s="174"/>
      <c r="K63" s="174"/>
      <c r="L63" s="174"/>
      <c r="M63" s="174"/>
      <c r="N63" s="174"/>
    </row>
    <row r="64" spans="1:14" ht="15" customHeight="1" x14ac:dyDescent="0.35">
      <c r="A64" s="174"/>
      <c r="B64" s="174"/>
      <c r="C64" s="174"/>
      <c r="D64" s="174"/>
      <c r="E64" s="174"/>
      <c r="F64" s="174"/>
      <c r="G64" s="174"/>
      <c r="H64" s="174"/>
      <c r="I64" s="174"/>
      <c r="J64" s="174"/>
      <c r="K64" s="174"/>
      <c r="L64" s="174"/>
      <c r="M64" s="174"/>
      <c r="N64" s="174"/>
    </row>
    <row r="65" spans="1:14" x14ac:dyDescent="0.35">
      <c r="A65" s="174"/>
      <c r="B65" s="174"/>
      <c r="C65" s="174"/>
      <c r="D65" s="174"/>
      <c r="E65" s="174"/>
      <c r="F65" s="174"/>
      <c r="G65" s="174"/>
      <c r="H65" s="174"/>
      <c r="I65" s="174"/>
      <c r="J65" s="174"/>
      <c r="K65" s="174"/>
      <c r="L65" s="174"/>
      <c r="M65" s="174"/>
      <c r="N65" s="174"/>
    </row>
    <row r="67" spans="1:14" x14ac:dyDescent="0.35">
      <c r="A67" s="173" t="s">
        <v>421</v>
      </c>
      <c r="B67" s="173"/>
      <c r="C67" s="173"/>
      <c r="D67" s="173"/>
      <c r="E67" s="173"/>
      <c r="F67" s="173"/>
      <c r="G67" s="173"/>
      <c r="H67" s="173"/>
      <c r="I67" s="173"/>
      <c r="J67" s="173"/>
      <c r="K67" s="173"/>
      <c r="L67" s="173"/>
      <c r="M67" s="173"/>
      <c r="N67" s="173"/>
    </row>
    <row r="68" spans="1:14" x14ac:dyDescent="0.35">
      <c r="A68" s="173"/>
      <c r="B68" s="173"/>
      <c r="C68" s="173"/>
      <c r="D68" s="173"/>
      <c r="E68" s="173"/>
      <c r="F68" s="173"/>
      <c r="G68" s="173"/>
      <c r="H68" s="173"/>
      <c r="I68" s="173"/>
      <c r="J68" s="173"/>
      <c r="K68" s="173"/>
      <c r="L68" s="173"/>
      <c r="M68" s="173"/>
      <c r="N68" s="173"/>
    </row>
    <row r="69" spans="1:14" ht="15" customHeight="1" x14ac:dyDescent="0.35">
      <c r="A69" s="99" t="s">
        <v>422</v>
      </c>
      <c r="B69" s="99"/>
      <c r="C69" s="99"/>
      <c r="D69" s="99"/>
      <c r="E69" s="99"/>
      <c r="F69" s="99"/>
      <c r="G69" s="99"/>
      <c r="H69" s="99"/>
      <c r="I69" s="99"/>
      <c r="J69" s="99"/>
      <c r="K69" s="99"/>
      <c r="L69" s="99"/>
      <c r="M69" s="102" t="s">
        <v>66</v>
      </c>
      <c r="N69" s="103" t="s">
        <v>207</v>
      </c>
    </row>
    <row r="70" spans="1:14" x14ac:dyDescent="0.35">
      <c r="A70" s="99"/>
      <c r="B70" s="99"/>
      <c r="C70" s="99"/>
      <c r="D70" s="99"/>
      <c r="E70" s="99"/>
      <c r="F70" s="99"/>
      <c r="G70" s="99"/>
      <c r="H70" s="99"/>
      <c r="I70" s="99"/>
      <c r="J70" s="99"/>
      <c r="K70" s="99"/>
      <c r="L70" s="99"/>
      <c r="M70" s="102"/>
      <c r="N70" s="103"/>
    </row>
    <row r="71" spans="1:14" x14ac:dyDescent="0.35">
      <c r="A71" s="99"/>
      <c r="B71" s="99"/>
      <c r="C71" s="99"/>
      <c r="D71" s="99"/>
      <c r="E71" s="99"/>
      <c r="F71" s="99"/>
      <c r="G71" s="99"/>
      <c r="H71" s="99"/>
      <c r="I71" s="99"/>
      <c r="J71" s="99"/>
      <c r="K71" s="99"/>
      <c r="L71" s="99"/>
      <c r="M71" s="102"/>
      <c r="N71" s="103"/>
    </row>
    <row r="72" spans="1:14" x14ac:dyDescent="0.35">
      <c r="A72" s="99"/>
      <c r="B72" s="99"/>
      <c r="C72" s="99"/>
      <c r="D72" s="99"/>
      <c r="E72" s="99"/>
      <c r="F72" s="99"/>
      <c r="G72" s="99"/>
      <c r="H72" s="99"/>
      <c r="I72" s="99"/>
      <c r="J72" s="99"/>
      <c r="K72" s="99"/>
      <c r="L72" s="99"/>
      <c r="M72" s="102"/>
      <c r="N72" s="103"/>
    </row>
    <row r="73" spans="1:14" x14ac:dyDescent="0.35">
      <c r="A73" s="106" t="s">
        <v>423</v>
      </c>
      <c r="B73" s="107"/>
      <c r="C73" s="107"/>
      <c r="D73" s="107"/>
      <c r="E73" s="107"/>
      <c r="F73" s="107"/>
      <c r="G73" s="107"/>
      <c r="H73" s="107"/>
      <c r="I73" s="107"/>
      <c r="J73" s="107"/>
      <c r="K73" s="107"/>
      <c r="L73" s="108"/>
      <c r="M73" s="102" t="s">
        <v>66</v>
      </c>
      <c r="N73" s="103" t="s">
        <v>207</v>
      </c>
    </row>
    <row r="74" spans="1:14" x14ac:dyDescent="0.35">
      <c r="A74" s="109"/>
      <c r="B74" s="110"/>
      <c r="C74" s="110"/>
      <c r="D74" s="110"/>
      <c r="E74" s="110"/>
      <c r="F74" s="110"/>
      <c r="G74" s="110"/>
      <c r="H74" s="110"/>
      <c r="I74" s="110"/>
      <c r="J74" s="110"/>
      <c r="K74" s="110"/>
      <c r="L74" s="111"/>
      <c r="M74" s="102"/>
      <c r="N74" s="103"/>
    </row>
    <row r="75" spans="1:14" x14ac:dyDescent="0.35">
      <c r="A75" s="112"/>
      <c r="B75" s="113"/>
      <c r="C75" s="113"/>
      <c r="D75" s="113"/>
      <c r="E75" s="113"/>
      <c r="F75" s="113"/>
      <c r="G75" s="113"/>
      <c r="H75" s="113"/>
      <c r="I75" s="113"/>
      <c r="J75" s="113"/>
      <c r="K75" s="113"/>
      <c r="L75" s="114"/>
      <c r="M75" s="102"/>
      <c r="N75" s="103"/>
    </row>
    <row r="76" spans="1:14" x14ac:dyDescent="0.35">
      <c r="A76" s="106" t="s">
        <v>424</v>
      </c>
      <c r="B76" s="107"/>
      <c r="C76" s="107"/>
      <c r="D76" s="107"/>
      <c r="E76" s="107"/>
      <c r="F76" s="107"/>
      <c r="G76" s="107"/>
      <c r="H76" s="107"/>
      <c r="I76" s="107"/>
      <c r="J76" s="107"/>
      <c r="K76" s="107"/>
      <c r="L76" s="108"/>
      <c r="M76" s="102" t="s">
        <v>66</v>
      </c>
      <c r="N76" s="103" t="s">
        <v>207</v>
      </c>
    </row>
    <row r="77" spans="1:14" x14ac:dyDescent="0.35">
      <c r="A77" s="109"/>
      <c r="B77" s="110"/>
      <c r="C77" s="110"/>
      <c r="D77" s="110"/>
      <c r="E77" s="110"/>
      <c r="F77" s="110"/>
      <c r="G77" s="110"/>
      <c r="H77" s="110"/>
      <c r="I77" s="110"/>
      <c r="J77" s="110"/>
      <c r="K77" s="110"/>
      <c r="L77" s="111"/>
      <c r="M77" s="102"/>
      <c r="N77" s="103"/>
    </row>
    <row r="78" spans="1:14" x14ac:dyDescent="0.35">
      <c r="A78" s="112"/>
      <c r="B78" s="113"/>
      <c r="C78" s="113"/>
      <c r="D78" s="113"/>
      <c r="E78" s="113"/>
      <c r="F78" s="113"/>
      <c r="G78" s="113"/>
      <c r="H78" s="113"/>
      <c r="I78" s="113"/>
      <c r="J78" s="113"/>
      <c r="K78" s="113"/>
      <c r="L78" s="114"/>
      <c r="M78" s="102"/>
      <c r="N78" s="103"/>
    </row>
    <row r="80" spans="1:14" x14ac:dyDescent="0.35">
      <c r="A80" s="173" t="s">
        <v>425</v>
      </c>
      <c r="B80" s="173"/>
      <c r="C80" s="173"/>
      <c r="D80" s="173"/>
      <c r="E80" s="173"/>
      <c r="F80" s="173"/>
      <c r="G80" s="173"/>
      <c r="H80" s="173"/>
      <c r="I80" s="173"/>
      <c r="J80" s="173"/>
      <c r="K80" s="173"/>
      <c r="L80" s="173"/>
      <c r="M80" s="173"/>
      <c r="N80" s="173"/>
    </row>
    <row r="81" spans="1:14" x14ac:dyDescent="0.35">
      <c r="A81" s="173"/>
      <c r="B81" s="173"/>
      <c r="C81" s="173"/>
      <c r="D81" s="173"/>
      <c r="E81" s="173"/>
      <c r="F81" s="173"/>
      <c r="G81" s="173"/>
      <c r="H81" s="173"/>
      <c r="I81" s="173"/>
      <c r="J81" s="173"/>
      <c r="K81" s="173"/>
      <c r="L81" s="173"/>
      <c r="M81" s="173"/>
      <c r="N81" s="173"/>
    </row>
    <row r="82" spans="1:14" x14ac:dyDescent="0.35">
      <c r="A82" s="106" t="s">
        <v>426</v>
      </c>
      <c r="B82" s="107"/>
      <c r="C82" s="107"/>
      <c r="D82" s="107"/>
      <c r="E82" s="107"/>
      <c r="F82" s="107"/>
      <c r="G82" s="107"/>
      <c r="H82" s="107"/>
      <c r="I82" s="107"/>
      <c r="J82" s="107"/>
      <c r="K82" s="107"/>
      <c r="L82" s="108"/>
      <c r="M82" s="100" t="s">
        <v>208</v>
      </c>
      <c r="N82" s="103" t="s">
        <v>207</v>
      </c>
    </row>
    <row r="83" spans="1:14" x14ac:dyDescent="0.35">
      <c r="A83" s="109"/>
      <c r="B83" s="110"/>
      <c r="C83" s="110"/>
      <c r="D83" s="110"/>
      <c r="E83" s="110"/>
      <c r="F83" s="110"/>
      <c r="G83" s="110"/>
      <c r="H83" s="110"/>
      <c r="I83" s="110"/>
      <c r="J83" s="110"/>
      <c r="K83" s="110"/>
      <c r="L83" s="111"/>
      <c r="M83" s="100"/>
      <c r="N83" s="103"/>
    </row>
    <row r="84" spans="1:14" x14ac:dyDescent="0.35">
      <c r="A84" s="112"/>
      <c r="B84" s="113"/>
      <c r="C84" s="113"/>
      <c r="D84" s="113"/>
      <c r="E84" s="113"/>
      <c r="F84" s="113"/>
      <c r="G84" s="113"/>
      <c r="H84" s="113"/>
      <c r="I84" s="113"/>
      <c r="J84" s="113"/>
      <c r="K84" s="113"/>
      <c r="L84" s="114"/>
      <c r="M84" s="100"/>
      <c r="N84" s="103"/>
    </row>
    <row r="85" spans="1:14" x14ac:dyDescent="0.35">
      <c r="A85" s="106" t="s">
        <v>427</v>
      </c>
      <c r="B85" s="107"/>
      <c r="C85" s="107"/>
      <c r="D85" s="107"/>
      <c r="E85" s="107"/>
      <c r="F85" s="107"/>
      <c r="G85" s="107"/>
      <c r="H85" s="107"/>
      <c r="I85" s="107"/>
      <c r="J85" s="107"/>
      <c r="K85" s="107"/>
      <c r="L85" s="108"/>
      <c r="M85" s="100" t="s">
        <v>208</v>
      </c>
      <c r="N85" s="103" t="s">
        <v>207</v>
      </c>
    </row>
    <row r="86" spans="1:14" x14ac:dyDescent="0.35">
      <c r="A86" s="109"/>
      <c r="B86" s="110"/>
      <c r="C86" s="110"/>
      <c r="D86" s="110"/>
      <c r="E86" s="110"/>
      <c r="F86" s="110"/>
      <c r="G86" s="110"/>
      <c r="H86" s="110"/>
      <c r="I86" s="110"/>
      <c r="J86" s="110"/>
      <c r="K86" s="110"/>
      <c r="L86" s="111"/>
      <c r="M86" s="100"/>
      <c r="N86" s="103"/>
    </row>
    <row r="87" spans="1:14" x14ac:dyDescent="0.35">
      <c r="A87" s="112"/>
      <c r="B87" s="113"/>
      <c r="C87" s="113"/>
      <c r="D87" s="113"/>
      <c r="E87" s="113"/>
      <c r="F87" s="113"/>
      <c r="G87" s="113"/>
      <c r="H87" s="113"/>
      <c r="I87" s="113"/>
      <c r="J87" s="113"/>
      <c r="K87" s="113"/>
      <c r="L87" s="114"/>
      <c r="M87" s="100"/>
      <c r="N87" s="103"/>
    </row>
    <row r="88" spans="1:14" x14ac:dyDescent="0.35">
      <c r="A88" s="106" t="s">
        <v>427</v>
      </c>
      <c r="B88" s="107"/>
      <c r="C88" s="107"/>
      <c r="D88" s="107"/>
      <c r="E88" s="107"/>
      <c r="F88" s="107"/>
      <c r="G88" s="107"/>
      <c r="H88" s="107"/>
      <c r="I88" s="107"/>
      <c r="J88" s="107"/>
      <c r="K88" s="107"/>
      <c r="L88" s="108"/>
      <c r="M88" s="100" t="s">
        <v>208</v>
      </c>
      <c r="N88" s="101" t="s">
        <v>67</v>
      </c>
    </row>
    <row r="89" spans="1:14" x14ac:dyDescent="0.35">
      <c r="A89" s="109"/>
      <c r="B89" s="110"/>
      <c r="C89" s="110"/>
      <c r="D89" s="110"/>
      <c r="E89" s="110"/>
      <c r="F89" s="110"/>
      <c r="G89" s="110"/>
      <c r="H89" s="110"/>
      <c r="I89" s="110"/>
      <c r="J89" s="110"/>
      <c r="K89" s="110"/>
      <c r="L89" s="111"/>
      <c r="M89" s="100"/>
      <c r="N89" s="101"/>
    </row>
    <row r="90" spans="1:14" x14ac:dyDescent="0.35">
      <c r="A90" s="112"/>
      <c r="B90" s="113"/>
      <c r="C90" s="113"/>
      <c r="D90" s="113"/>
      <c r="E90" s="113"/>
      <c r="F90" s="113"/>
      <c r="G90" s="113"/>
      <c r="H90" s="113"/>
      <c r="I90" s="113"/>
      <c r="J90" s="113"/>
      <c r="K90" s="113"/>
      <c r="L90" s="114"/>
      <c r="M90" s="100"/>
      <c r="N90" s="101"/>
    </row>
    <row r="91" spans="1:14" x14ac:dyDescent="0.35">
      <c r="A91" s="106" t="s">
        <v>428</v>
      </c>
      <c r="B91" s="107"/>
      <c r="C91" s="107"/>
      <c r="D91" s="107"/>
      <c r="E91" s="107"/>
      <c r="F91" s="107"/>
      <c r="G91" s="107"/>
      <c r="H91" s="107"/>
      <c r="I91" s="107"/>
      <c r="J91" s="107"/>
      <c r="K91" s="107"/>
      <c r="L91" s="108"/>
      <c r="M91" s="100" t="s">
        <v>208</v>
      </c>
      <c r="N91" s="101" t="s">
        <v>67</v>
      </c>
    </row>
    <row r="92" spans="1:14" x14ac:dyDescent="0.35">
      <c r="A92" s="109"/>
      <c r="B92" s="110"/>
      <c r="C92" s="110"/>
      <c r="D92" s="110"/>
      <c r="E92" s="110"/>
      <c r="F92" s="110"/>
      <c r="G92" s="110"/>
      <c r="H92" s="110"/>
      <c r="I92" s="110"/>
      <c r="J92" s="110"/>
      <c r="K92" s="110"/>
      <c r="L92" s="111"/>
      <c r="M92" s="100"/>
      <c r="N92" s="101"/>
    </row>
    <row r="93" spans="1:14" x14ac:dyDescent="0.35">
      <c r="A93" s="112"/>
      <c r="B93" s="113"/>
      <c r="C93" s="113"/>
      <c r="D93" s="113"/>
      <c r="E93" s="113"/>
      <c r="F93" s="113"/>
      <c r="G93" s="113"/>
      <c r="H93" s="113"/>
      <c r="I93" s="113"/>
      <c r="J93" s="113"/>
      <c r="K93" s="113"/>
      <c r="L93" s="114"/>
      <c r="M93" s="100"/>
      <c r="N93" s="101"/>
    </row>
    <row r="95" spans="1:14" x14ac:dyDescent="0.35">
      <c r="A95" s="173" t="s">
        <v>429</v>
      </c>
      <c r="B95" s="173"/>
      <c r="C95" s="173"/>
      <c r="D95" s="173"/>
      <c r="E95" s="173"/>
      <c r="F95" s="173"/>
      <c r="G95" s="173"/>
      <c r="H95" s="173"/>
      <c r="I95" s="173"/>
      <c r="J95" s="173"/>
      <c r="K95" s="173"/>
      <c r="L95" s="173"/>
      <c r="M95" s="173"/>
      <c r="N95" s="173"/>
    </row>
    <row r="96" spans="1:14" x14ac:dyDescent="0.35">
      <c r="A96" s="173"/>
      <c r="B96" s="173"/>
      <c r="C96" s="173"/>
      <c r="D96" s="173"/>
      <c r="E96" s="173"/>
      <c r="F96" s="173"/>
      <c r="G96" s="173"/>
      <c r="H96" s="173"/>
      <c r="I96" s="173"/>
      <c r="J96" s="173"/>
      <c r="K96" s="173"/>
      <c r="L96" s="173"/>
      <c r="M96" s="173"/>
      <c r="N96" s="173"/>
    </row>
    <row r="97" spans="1:14" x14ac:dyDescent="0.35">
      <c r="A97" s="106" t="s">
        <v>430</v>
      </c>
      <c r="B97" s="107"/>
      <c r="C97" s="107"/>
      <c r="D97" s="107"/>
      <c r="E97" s="107"/>
      <c r="F97" s="107"/>
      <c r="G97" s="107"/>
      <c r="H97" s="107"/>
      <c r="I97" s="107"/>
      <c r="J97" s="107"/>
      <c r="K97" s="107"/>
      <c r="L97" s="108"/>
      <c r="M97" s="115" t="s">
        <v>214</v>
      </c>
      <c r="N97" s="103" t="s">
        <v>207</v>
      </c>
    </row>
    <row r="98" spans="1:14" x14ac:dyDescent="0.35">
      <c r="A98" s="109"/>
      <c r="B98" s="110"/>
      <c r="C98" s="110"/>
      <c r="D98" s="110"/>
      <c r="E98" s="110"/>
      <c r="F98" s="110"/>
      <c r="G98" s="110"/>
      <c r="H98" s="110"/>
      <c r="I98" s="110"/>
      <c r="J98" s="110"/>
      <c r="K98" s="110"/>
      <c r="L98" s="111"/>
      <c r="M98" s="115"/>
      <c r="N98" s="103"/>
    </row>
    <row r="99" spans="1:14" x14ac:dyDescent="0.35">
      <c r="A99" s="112"/>
      <c r="B99" s="113"/>
      <c r="C99" s="113"/>
      <c r="D99" s="113"/>
      <c r="E99" s="113"/>
      <c r="F99" s="113"/>
      <c r="G99" s="113"/>
      <c r="H99" s="113"/>
      <c r="I99" s="113"/>
      <c r="J99" s="113"/>
      <c r="K99" s="113"/>
      <c r="L99" s="114"/>
      <c r="M99" s="115"/>
      <c r="N99" s="103"/>
    </row>
    <row r="100" spans="1:14" x14ac:dyDescent="0.35">
      <c r="A100" s="106" t="s">
        <v>431</v>
      </c>
      <c r="B100" s="107"/>
      <c r="C100" s="107"/>
      <c r="D100" s="107"/>
      <c r="E100" s="107"/>
      <c r="F100" s="107"/>
      <c r="G100" s="107"/>
      <c r="H100" s="107"/>
      <c r="I100" s="107"/>
      <c r="J100" s="107"/>
      <c r="K100" s="107"/>
      <c r="L100" s="108"/>
      <c r="M100" s="115" t="s">
        <v>214</v>
      </c>
      <c r="N100" s="103" t="s">
        <v>207</v>
      </c>
    </row>
    <row r="101" spans="1:14" x14ac:dyDescent="0.35">
      <c r="A101" s="109"/>
      <c r="B101" s="110"/>
      <c r="C101" s="110"/>
      <c r="D101" s="110"/>
      <c r="E101" s="110"/>
      <c r="F101" s="110"/>
      <c r="G101" s="110"/>
      <c r="H101" s="110"/>
      <c r="I101" s="110"/>
      <c r="J101" s="110"/>
      <c r="K101" s="110"/>
      <c r="L101" s="111"/>
      <c r="M101" s="115"/>
      <c r="N101" s="103"/>
    </row>
    <row r="102" spans="1:14" x14ac:dyDescent="0.35">
      <c r="A102" s="112"/>
      <c r="B102" s="113"/>
      <c r="C102" s="113"/>
      <c r="D102" s="113"/>
      <c r="E102" s="113"/>
      <c r="F102" s="113"/>
      <c r="G102" s="113"/>
      <c r="H102" s="113"/>
      <c r="I102" s="113"/>
      <c r="J102" s="113"/>
      <c r="K102" s="113"/>
      <c r="L102" s="114"/>
      <c r="M102" s="115"/>
      <c r="N102" s="103"/>
    </row>
  </sheetData>
  <sheetProtection algorithmName="SHA-512" hashValue="B9mPJda4A+x8K8CARym8Eb/oY2XhgZ2iU4oNZXJsjTNBSbaMcoGf5fSQOLFCkYug/CZFUwEtWTQTnsOSUyO6oQ==" saltValue="CgM5hZO7nzXEiiqIAesSaA==" spinCount="100000" sheet="1" objects="1" scenarios="1"/>
  <mergeCells count="73">
    <mergeCell ref="A95:N96"/>
    <mergeCell ref="A97:L99"/>
    <mergeCell ref="M97:M99"/>
    <mergeCell ref="N97:N99"/>
    <mergeCell ref="A100:L102"/>
    <mergeCell ref="M100:M102"/>
    <mergeCell ref="N100:N102"/>
    <mergeCell ref="A88:L90"/>
    <mergeCell ref="M88:M90"/>
    <mergeCell ref="N88:N90"/>
    <mergeCell ref="A91:L93"/>
    <mergeCell ref="M91:M93"/>
    <mergeCell ref="N91:N93"/>
    <mergeCell ref="A80:N81"/>
    <mergeCell ref="A82:L84"/>
    <mergeCell ref="M82:M84"/>
    <mergeCell ref="N82:N84"/>
    <mergeCell ref="A85:L87"/>
    <mergeCell ref="M85:M87"/>
    <mergeCell ref="N85:N87"/>
    <mergeCell ref="A73:L75"/>
    <mergeCell ref="M73:M75"/>
    <mergeCell ref="N73:N75"/>
    <mergeCell ref="A76:L78"/>
    <mergeCell ref="M76:M78"/>
    <mergeCell ref="N76:N78"/>
    <mergeCell ref="A67:N68"/>
    <mergeCell ref="A69:L72"/>
    <mergeCell ref="M69:M72"/>
    <mergeCell ref="N69:N72"/>
    <mergeCell ref="A55:L57"/>
    <mergeCell ref="M55:M57"/>
    <mergeCell ref="N55:N57"/>
    <mergeCell ref="A63:N65"/>
    <mergeCell ref="A1:N2"/>
    <mergeCell ref="A4:F4"/>
    <mergeCell ref="G4:I4"/>
    <mergeCell ref="A51:L54"/>
    <mergeCell ref="M51:M54"/>
    <mergeCell ref="N51:N54"/>
    <mergeCell ref="K4:N4"/>
    <mergeCell ref="J5:J10"/>
    <mergeCell ref="K5:N10"/>
    <mergeCell ref="A5:F10"/>
    <mergeCell ref="G5:I10"/>
    <mergeCell ref="A13:L15"/>
    <mergeCell ref="M13:M15"/>
    <mergeCell ref="N13:N15"/>
    <mergeCell ref="A16:L18"/>
    <mergeCell ref="M16:M18"/>
    <mergeCell ref="N16:N18"/>
    <mergeCell ref="A19:L21"/>
    <mergeCell ref="M19:M21"/>
    <mergeCell ref="N19:N21"/>
    <mergeCell ref="A32:L32"/>
    <mergeCell ref="A33:L35"/>
    <mergeCell ref="M33:M35"/>
    <mergeCell ref="N33:N35"/>
    <mergeCell ref="A36:L38"/>
    <mergeCell ref="M36:M38"/>
    <mergeCell ref="N36:N38"/>
    <mergeCell ref="A39:L41"/>
    <mergeCell ref="M39:M41"/>
    <mergeCell ref="N39:N41"/>
    <mergeCell ref="A48:L50"/>
    <mergeCell ref="M48:M50"/>
    <mergeCell ref="N48:N50"/>
    <mergeCell ref="A42:L44"/>
    <mergeCell ref="M42:M44"/>
    <mergeCell ref="N42:N44"/>
    <mergeCell ref="A45:L47"/>
    <mergeCell ref="M45:M47"/>
    <mergeCell ref="N45:N47"/>
  </mergeCells>
  <conditionalFormatting sqref="A5 A11:F11">
    <cfRule type="cellIs" dxfId="37" priority="36" operator="equal">
      <formula>4</formula>
    </cfRule>
    <cfRule type="cellIs" dxfId="36" priority="37" operator="equal">
      <formula>3</formula>
    </cfRule>
    <cfRule type="cellIs" dxfId="35" priority="38" operator="equal">
      <formula>2</formula>
    </cfRule>
  </conditionalFormatting>
  <conditionalFormatting sqref="A69">
    <cfRule type="notContainsBlanks" dxfId="34" priority="2">
      <formula>LEN(TRIM(A69))&gt;0</formula>
    </cfRule>
  </conditionalFormatting>
  <conditionalFormatting sqref="A33:L57">
    <cfRule type="notContainsBlanks" dxfId="33" priority="7">
      <formula>LEN(TRIM(A33))&gt;0</formula>
    </cfRule>
  </conditionalFormatting>
  <conditionalFormatting sqref="A32:N32">
    <cfRule type="notContainsBlanks" dxfId="32" priority="39">
      <formula>LEN(TRIM(A32))&gt;0</formula>
    </cfRule>
  </conditionalFormatting>
  <conditionalFormatting sqref="J5 J11">
    <cfRule type="containsText" dxfId="31" priority="33" operator="containsText" text="49">
      <formula>NOT(ISERROR(SEARCH("49",J5)))</formula>
    </cfRule>
    <cfRule type="containsText" dxfId="30" priority="34" operator="containsText" text="50">
      <formula>NOT(ISERROR(SEARCH("50",J5)))</formula>
    </cfRule>
  </conditionalFormatting>
  <conditionalFormatting sqref="J5:J10">
    <cfRule type="containsText" dxfId="29" priority="32" operator="containsText" text="40">
      <formula>NOT(ISERROR(SEARCH("40",J5)))</formula>
    </cfRule>
  </conditionalFormatting>
  <conditionalFormatting sqref="M33:M50">
    <cfRule type="containsText" dxfId="28" priority="12" operator="containsText" text="I">
      <formula>NOT(ISERROR(SEARCH("I",M33)))</formula>
    </cfRule>
  </conditionalFormatting>
  <conditionalFormatting sqref="M51:M54">
    <cfRule type="containsText" dxfId="27" priority="10" operator="containsText" text="IIa">
      <formula>NOT(ISERROR(SEARCH("IIa",M51)))</formula>
    </cfRule>
  </conditionalFormatting>
  <conditionalFormatting sqref="M55:M57">
    <cfRule type="containsText" dxfId="26" priority="5" operator="containsText" text="IIb">
      <formula>NOT(ISERROR(SEARCH("IIb",M55)))</formula>
    </cfRule>
  </conditionalFormatting>
  <conditionalFormatting sqref="M69">
    <cfRule type="containsText" dxfId="25" priority="1" operator="containsText" text="I">
      <formula>NOT(ISERROR(SEARCH("I",M69)))</formula>
    </cfRule>
  </conditionalFormatting>
  <conditionalFormatting sqref="N33:N47">
    <cfRule type="containsText" dxfId="24" priority="14" operator="containsText" text="A">
      <formula>NOT(ISERROR(SEARCH("A",N33)))</formula>
    </cfRule>
  </conditionalFormatting>
  <conditionalFormatting sqref="N36:N38">
    <cfRule type="containsText" dxfId="23" priority="4" operator="containsText" text="C">
      <formula>NOT(ISERROR(SEARCH("C",N36)))</formula>
    </cfRule>
  </conditionalFormatting>
  <conditionalFormatting sqref="N48:N50">
    <cfRule type="containsText" dxfId="22" priority="11" operator="containsText" text="C">
      <formula>NOT(ISERROR(SEARCH("C",N48)))</formula>
    </cfRule>
  </conditionalFormatting>
  <conditionalFormatting sqref="N51:N57">
    <cfRule type="containsText" dxfId="21" priority="6" operator="containsText" text="B">
      <formula>NOT(ISERROR(SEARCH("B",N51)))</formula>
    </cfRule>
  </conditionalFormatting>
  <conditionalFormatting sqref="N69">
    <cfRule type="containsText" dxfId="20" priority="3" operator="containsText" text="A">
      <formula>NOT(ISERROR(SEARCH("A",N69)))</formula>
    </cfRule>
  </conditionalFormatting>
  <hyperlinks>
    <hyperlink ref="A1:N2" location="Main!A1" display="კლინიკური მიდგომა და საკვანძო რეკომენდაციები" xr:uid="{E099454A-1021-4C0E-B721-9E27D4F99525}"/>
    <hyperlink ref="M13:M15" location="Evidence!A1" display="I" xr:uid="{187A8DBB-2446-46C3-BA25-0D1131C3AFC2}"/>
    <hyperlink ref="N13:N15" location="Evidence!A1" display="B" xr:uid="{649ABF8F-9F65-4A5E-92DA-19C3F3427EEC}"/>
    <hyperlink ref="M16:M18" location="Evidence!A1" display="I" xr:uid="{7EB92225-D29B-4714-B1DC-BEE4B806E287}"/>
    <hyperlink ref="N16:N18" location="Evidence!A1" display="B" xr:uid="{A4664097-C911-4C41-9205-30109B8B8F78}"/>
    <hyperlink ref="M19:M21" location="Evidence!A1" display="I" xr:uid="{8D96B120-4078-4F79-B17C-3E419840FF1E}"/>
    <hyperlink ref="N19:N21" location="Evidence!A1" display="B" xr:uid="{37CDCCA6-9840-4AB9-A03F-144939A4A93B}"/>
    <hyperlink ref="M69:M71" location="Evidence!A1" display="I" xr:uid="{BDC14CBC-ED0A-4CCF-82D6-E4F24679CD96}"/>
    <hyperlink ref="N69:N71" location="Evidence!A1" display="B" xr:uid="{52219FFA-EB3B-429D-88F8-70DD442FDB93}"/>
    <hyperlink ref="M73:M75" location="Evidence!A1" display="I" xr:uid="{5646458E-B5A3-42A0-8B80-8D5865A0CB01}"/>
    <hyperlink ref="N73:N75" location="Evidence!A1" display="B" xr:uid="{9EA43E34-1294-4C5F-8BCE-CF66138DFEFE}"/>
    <hyperlink ref="M76:M78" location="Evidence!A1" display="I" xr:uid="{20993A96-604E-4965-ADF9-B6D561BA1B31}"/>
    <hyperlink ref="N76:N78" location="Evidence!A1" display="B" xr:uid="{16ECA811-2AE4-45FB-BD4E-DFD00780DC3B}"/>
    <hyperlink ref="N82:N84" location="Evidence!A1" display="B" xr:uid="{1302D1BE-2A9F-42BF-BD52-8FC2BF7EF86B}"/>
    <hyperlink ref="M82:M84" location="Evidence!A1" display="I" xr:uid="{87FD7155-3142-4810-BD4C-F0B0101943B6}"/>
    <hyperlink ref="N85:N87" location="Evidence!A1" display="B" xr:uid="{23990635-E55B-4098-9A85-1D95538C3025}"/>
    <hyperlink ref="M85:M87" location="Evidence!A1" display="I" xr:uid="{14D85BB7-8D87-4B3F-9EFF-F04C7B47F121}"/>
    <hyperlink ref="M88:M90" location="Evidence!A1" display="I" xr:uid="{447FECD2-3F08-4A73-9229-A38CE8B25038}"/>
    <hyperlink ref="N88:N90" location="Evidence!A1" display="B" xr:uid="{37F6DC75-ABE2-4708-BE38-7AAFB0E0E486}"/>
    <hyperlink ref="M91:M93" location="Evidence!A1" display="I" xr:uid="{6826C868-D931-437D-A799-C994FF64CD69}"/>
    <hyperlink ref="N91:N93" location="Evidence!A1" display="B" xr:uid="{224441A1-C8C6-46A9-8307-B5DD427F569D}"/>
    <hyperlink ref="N97:N99" location="Evidence!A1" display="B" xr:uid="{EA84B387-C9ED-43A7-8C34-BEFED13CD11B}"/>
    <hyperlink ref="M97:M99" location="Evidence!A1" display="I" xr:uid="{25CDAC02-7082-41C2-8B82-4E1564869F79}"/>
    <hyperlink ref="N100:N102" location="Evidence!A1" display="B" xr:uid="{098450C9-E56C-410B-9BAB-8B092EF2C073}"/>
    <hyperlink ref="M100:M102" location="Evidence!A1" display="I" xr:uid="{1CC444BB-356F-4A48-9B1D-48035C06E6D0}"/>
    <hyperlink ref="A63:N65" location="Main!A1" display="ჰიპოგლიკემიური მედიკამენტები პაციენტებში დიაბეტით და გულის უკმარისობით ან უკმარისობის გარეშე" xr:uid="{2E333C4A-50C4-4033-8567-813973CE193B}"/>
  </hyperlinks>
  <printOptions gridLines="1"/>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Drop Down 1">
              <controlPr defaultSize="0" autoLine="0" autoPict="0">
                <anchor moveWithCells="1">
                  <from>
                    <xdr:col>0</xdr:col>
                    <xdr:colOff>50800</xdr:colOff>
                    <xdr:row>6</xdr:row>
                    <xdr:rowOff>57150</xdr:rowOff>
                  </from>
                  <to>
                    <xdr:col>5</xdr:col>
                    <xdr:colOff>660400</xdr:colOff>
                    <xdr:row>7</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AB9CF-7C38-4CAD-BC4F-3D9CB12EF666}">
  <dimension ref="A1:O58"/>
  <sheetViews>
    <sheetView workbookViewId="0">
      <selection sqref="A1:N2"/>
    </sheetView>
  </sheetViews>
  <sheetFormatPr defaultColWidth="9" defaultRowHeight="14.5" x14ac:dyDescent="0.35"/>
  <cols>
    <col min="1" max="14" width="9" style="2"/>
    <col min="15" max="15" width="9" style="5"/>
    <col min="16" max="16384" width="9" style="2"/>
  </cols>
  <sheetData>
    <row r="1" spans="1:15" x14ac:dyDescent="0.35">
      <c r="A1" s="92" t="s">
        <v>432</v>
      </c>
      <c r="B1" s="92"/>
      <c r="C1" s="92"/>
      <c r="D1" s="92"/>
      <c r="E1" s="92"/>
      <c r="F1" s="92"/>
      <c r="G1" s="92"/>
      <c r="H1" s="92"/>
      <c r="I1" s="92"/>
      <c r="J1" s="92"/>
      <c r="K1" s="92"/>
      <c r="L1" s="92"/>
      <c r="M1" s="92"/>
      <c r="N1" s="92"/>
    </row>
    <row r="2" spans="1:15" x14ac:dyDescent="0.35">
      <c r="A2" s="92"/>
      <c r="B2" s="92"/>
      <c r="C2" s="92"/>
      <c r="D2" s="92"/>
      <c r="E2" s="92"/>
      <c r="F2" s="92"/>
      <c r="G2" s="92"/>
      <c r="H2" s="92"/>
      <c r="I2" s="92"/>
      <c r="J2" s="92"/>
      <c r="K2" s="92"/>
      <c r="L2" s="92"/>
      <c r="M2" s="92"/>
      <c r="N2" s="92"/>
      <c r="O2" s="5" t="s">
        <v>19</v>
      </c>
    </row>
    <row r="4" spans="1:15" x14ac:dyDescent="0.35">
      <c r="A4" s="2" t="s">
        <v>434</v>
      </c>
      <c r="C4" s="4">
        <v>2</v>
      </c>
      <c r="O4" s="5" t="s">
        <v>437</v>
      </c>
    </row>
    <row r="5" spans="1:15" x14ac:dyDescent="0.35">
      <c r="F5" s="179" t="str">
        <f>IF(C4=2,O2,IF(C4=3,O2,""))</f>
        <v>↓</v>
      </c>
      <c r="G5" s="179"/>
      <c r="O5" s="5" t="s">
        <v>433</v>
      </c>
    </row>
    <row r="6" spans="1:15" x14ac:dyDescent="0.35">
      <c r="F6" s="179"/>
      <c r="G6" s="179"/>
    </row>
    <row r="7" spans="1:15" x14ac:dyDescent="0.35">
      <c r="C7" s="93" t="str">
        <f>IF(C4=2,O8,IF(C4=3,O17,""))</f>
        <v>12-განხრიანი ელექტროკარდიოგრაფია</v>
      </c>
      <c r="D7" s="93"/>
      <c r="E7" s="93"/>
      <c r="F7" s="93"/>
      <c r="G7" s="93"/>
      <c r="H7" s="93"/>
      <c r="I7" s="93"/>
      <c r="J7" s="93"/>
      <c r="O7" s="5" t="s">
        <v>435</v>
      </c>
    </row>
    <row r="8" spans="1:15" ht="15" customHeight="1" x14ac:dyDescent="0.35">
      <c r="C8" s="176" t="str">
        <f>IF(C4=2,O2,IF(C4=3,O2,""))</f>
        <v>↓</v>
      </c>
      <c r="F8" s="58"/>
      <c r="G8" s="58"/>
      <c r="J8" s="180" t="str">
        <f>IF(C4=2,O2,IF(C4=3,O2,""))</f>
        <v>↓</v>
      </c>
      <c r="O8" s="5" t="s">
        <v>436</v>
      </c>
    </row>
    <row r="9" spans="1:15" ht="15" customHeight="1" x14ac:dyDescent="0.35">
      <c r="C9" s="176"/>
      <c r="F9" s="58"/>
      <c r="G9" s="58"/>
      <c r="J9" s="180"/>
      <c r="O9" s="5" t="s">
        <v>438</v>
      </c>
    </row>
    <row r="10" spans="1:15" ht="15" customHeight="1" x14ac:dyDescent="0.35">
      <c r="A10" s="178" t="str">
        <f>IF(C4=2,O9,IF(C4=3,O9,""))</f>
        <v>არის წინაგულთა ფიბრილაციის ეკგ ნიშნები</v>
      </c>
      <c r="B10" s="178"/>
      <c r="C10" s="178"/>
      <c r="D10" s="178"/>
      <c r="E10" s="178"/>
      <c r="H10" s="95" t="str">
        <f>IF(C4=2,O10,IF(C4=3,O10,""))</f>
        <v xml:space="preserve">არ არის წინაგულთა ფიბრილაციის ეკგ ნიშნები, თუმცა სიმპტომები კვლავ საეჭვოა ან არის წინაგულთა ფიბრილაციის მაღალი რისკი ან არის იშემიური ინსულტის მაღალი რისკი (CHA2DS2-VASc &gt;1 კაცებში და &gt;2 ქალებში, დიაბეტით) </v>
      </c>
      <c r="I10" s="95"/>
      <c r="J10" s="95"/>
      <c r="K10" s="95"/>
      <c r="L10" s="95"/>
      <c r="M10" s="95"/>
      <c r="O10" s="5" t="s">
        <v>439</v>
      </c>
    </row>
    <row r="11" spans="1:15" x14ac:dyDescent="0.35">
      <c r="C11" s="176" t="str">
        <f>IF(C4=2,O2,"")</f>
        <v>↓</v>
      </c>
      <c r="H11" s="95"/>
      <c r="I11" s="95"/>
      <c r="J11" s="95"/>
      <c r="K11" s="95"/>
      <c r="L11" s="95"/>
      <c r="M11" s="95"/>
      <c r="O11" s="5" t="s">
        <v>440</v>
      </c>
    </row>
    <row r="12" spans="1:15" x14ac:dyDescent="0.35">
      <c r="C12" s="176"/>
      <c r="H12" s="95"/>
      <c r="I12" s="95"/>
      <c r="J12" s="95"/>
      <c r="K12" s="95"/>
      <c r="L12" s="95"/>
      <c r="M12" s="95"/>
      <c r="O12" s="5" t="s">
        <v>441</v>
      </c>
    </row>
    <row r="13" spans="1:15" x14ac:dyDescent="0.35">
      <c r="A13" s="95" t="str">
        <f>IF(C4=2,O15,"")</f>
        <v>ორალური ანტიკოაგულანტის ინიცირება CHA2DS2-VASc-ის ქულის მიხედვით</v>
      </c>
      <c r="B13" s="95"/>
      <c r="C13" s="95"/>
      <c r="D13" s="95"/>
      <c r="E13" s="95"/>
      <c r="H13" s="95"/>
      <c r="I13" s="95"/>
      <c r="J13" s="95"/>
      <c r="K13" s="95"/>
      <c r="L13" s="95"/>
      <c r="M13" s="95"/>
      <c r="O13" s="5" t="s">
        <v>443</v>
      </c>
    </row>
    <row r="14" spans="1:15" x14ac:dyDescent="0.35">
      <c r="A14" s="95"/>
      <c r="B14" s="95"/>
      <c r="C14" s="95"/>
      <c r="D14" s="95"/>
      <c r="E14" s="95"/>
      <c r="H14" s="175" t="str">
        <f>IF(C4=2,O11,IF(C4=3,O11,""))</f>
        <v>იხილეთ CHA2DS2-VASc კალკულატორი</v>
      </c>
      <c r="I14" s="175"/>
      <c r="J14" s="175"/>
      <c r="K14" s="175"/>
      <c r="L14" s="175"/>
      <c r="M14" s="175"/>
      <c r="O14" s="5" t="s">
        <v>442</v>
      </c>
    </row>
    <row r="15" spans="1:15" x14ac:dyDescent="0.35">
      <c r="O15" s="5" t="s">
        <v>444</v>
      </c>
    </row>
    <row r="16" spans="1:15" x14ac:dyDescent="0.35">
      <c r="A16" s="177" t="str">
        <f>IF(C4=2,O11,"")</f>
        <v>იხილეთ CHA2DS2-VASc კალკულატორი</v>
      </c>
      <c r="B16" s="177"/>
      <c r="C16" s="177"/>
      <c r="D16" s="177"/>
      <c r="E16" s="177"/>
      <c r="J16" s="118" t="str">
        <f>IF(C4=2,O2,IF(C4=3,O2,""))</f>
        <v>↓</v>
      </c>
      <c r="K16" s="118"/>
      <c r="O16" s="5" t="s">
        <v>445</v>
      </c>
    </row>
    <row r="17" spans="5:15" ht="15" customHeight="1" x14ac:dyDescent="0.35">
      <c r="H17" s="7"/>
      <c r="I17" s="7"/>
      <c r="J17" s="7"/>
      <c r="K17" s="7"/>
      <c r="L17" s="7"/>
      <c r="M17" s="7"/>
      <c r="O17" s="5" t="s">
        <v>446</v>
      </c>
    </row>
    <row r="18" spans="5:15" ht="15" customHeight="1" x14ac:dyDescent="0.35">
      <c r="H18" s="95" t="str">
        <f>IF(C4=2,O12,IF(C4=3,O12,""))</f>
        <v>სისტემატური სკირინინგი (მაგ., განმეორებითი ეკგ, ჰოლტერის მონიტორი, პაციენტის მიერ აქტივირებადი ან სატარებელი მოწყობილობები)</v>
      </c>
      <c r="I18" s="95"/>
      <c r="J18" s="95"/>
      <c r="K18" s="95"/>
      <c r="L18" s="95"/>
      <c r="M18" s="95"/>
    </row>
    <row r="19" spans="5:15" x14ac:dyDescent="0.35">
      <c r="H19" s="95"/>
      <c r="I19" s="95"/>
      <c r="J19" s="95"/>
      <c r="K19" s="95"/>
      <c r="L19" s="95"/>
      <c r="M19" s="95"/>
    </row>
    <row r="20" spans="5:15" x14ac:dyDescent="0.35">
      <c r="H20" s="95"/>
      <c r="I20" s="95"/>
      <c r="J20" s="95"/>
      <c r="K20" s="95"/>
      <c r="L20" s="95"/>
      <c r="M20" s="95"/>
    </row>
    <row r="21" spans="5:15" x14ac:dyDescent="0.35">
      <c r="H21" s="55" t="str">
        <f>IF(C4=2,O2,IF(C4=3,O2,""))</f>
        <v>↓</v>
      </c>
      <c r="M21" s="55" t="str">
        <f>IF(C4=2,O2,IF(C4=3,O2,""))</f>
        <v>↓</v>
      </c>
    </row>
    <row r="22" spans="5:15" x14ac:dyDescent="0.35">
      <c r="G22" s="178" t="str">
        <f>IF(C4=2,O14,IF(C4=3,O14,""))</f>
        <v>წინაგულთა ფიბრილაცია</v>
      </c>
      <c r="H22" s="178"/>
      <c r="I22" s="178"/>
      <c r="L22" s="178" t="str">
        <f>IF(C4=2,O13,IF(C4=3,O13,""))</f>
        <v>არ არის წინაგულთა ფიბრილაცია</v>
      </c>
      <c r="M22" s="178"/>
      <c r="N22" s="178"/>
    </row>
    <row r="23" spans="5:15" x14ac:dyDescent="0.35">
      <c r="H23" s="55" t="str">
        <f>IF(C4=2,O2,IF(C4=3,O2,""))</f>
        <v>↓</v>
      </c>
      <c r="M23" s="55" t="str">
        <f>IF(C4=2,O2,IF(C4=3,O2,""))</f>
        <v>↓</v>
      </c>
    </row>
    <row r="24" spans="5:15" x14ac:dyDescent="0.35">
      <c r="G24" s="95" t="str">
        <f>IF(C4=2,O15,IF(C4=3,O15,""))</f>
        <v>ორალური ანტიკოაგულანტის ინიცირება CHA2DS2-VASc-ის ქულის მიხედვით</v>
      </c>
      <c r="H24" s="95"/>
      <c r="I24" s="95"/>
      <c r="L24" s="178" t="str">
        <f>IF(C4=2,O16,IF(C4=3,O16,""))</f>
        <v>განმეორებითი სკრინინგი</v>
      </c>
      <c r="M24" s="178"/>
      <c r="N24" s="178"/>
    </row>
    <row r="25" spans="5:15" x14ac:dyDescent="0.35">
      <c r="G25" s="95"/>
      <c r="H25" s="95"/>
      <c r="I25" s="95"/>
    </row>
    <row r="26" spans="5:15" x14ac:dyDescent="0.35">
      <c r="G26" s="95"/>
      <c r="H26" s="95"/>
      <c r="I26" s="95"/>
    </row>
    <row r="27" spans="5:15" x14ac:dyDescent="0.35">
      <c r="E27" s="175" t="str">
        <f>IF(C4=2,O11,IF(C4=3,O11,""))</f>
        <v>იხილეთ CHA2DS2-VASc კალკულატორი</v>
      </c>
      <c r="F27" s="175"/>
      <c r="G27" s="175"/>
      <c r="H27" s="175"/>
      <c r="I27" s="175"/>
      <c r="J27" s="175"/>
      <c r="K27" s="175"/>
    </row>
    <row r="34" spans="1:14" x14ac:dyDescent="0.35">
      <c r="A34" s="63" t="s">
        <v>459</v>
      </c>
      <c r="B34" s="64"/>
      <c r="C34" s="64"/>
      <c r="D34" s="64"/>
      <c r="E34" s="64"/>
      <c r="F34" s="64"/>
      <c r="G34" s="64"/>
      <c r="H34" s="64"/>
      <c r="I34" s="64"/>
      <c r="J34" s="64"/>
      <c r="K34" s="64"/>
      <c r="L34" s="64"/>
      <c r="M34" s="64"/>
      <c r="N34" s="65"/>
    </row>
    <row r="35" spans="1:14" x14ac:dyDescent="0.35">
      <c r="A35" s="106" t="s">
        <v>461</v>
      </c>
      <c r="B35" s="107"/>
      <c r="C35" s="107"/>
      <c r="D35" s="107"/>
      <c r="E35" s="107"/>
      <c r="F35" s="107"/>
      <c r="G35" s="107"/>
      <c r="H35" s="107"/>
      <c r="I35" s="107"/>
      <c r="J35" s="107"/>
      <c r="K35" s="107"/>
      <c r="L35" s="108"/>
      <c r="M35" s="102" t="s">
        <v>66</v>
      </c>
      <c r="N35" s="103" t="s">
        <v>207</v>
      </c>
    </row>
    <row r="36" spans="1:14" x14ac:dyDescent="0.35">
      <c r="A36" s="109"/>
      <c r="B36" s="110"/>
      <c r="C36" s="110"/>
      <c r="D36" s="110"/>
      <c r="E36" s="110"/>
      <c r="F36" s="110"/>
      <c r="G36" s="110"/>
      <c r="H36" s="110"/>
      <c r="I36" s="110"/>
      <c r="J36" s="110"/>
      <c r="K36" s="110"/>
      <c r="L36" s="111"/>
      <c r="M36" s="102"/>
      <c r="N36" s="103"/>
    </row>
    <row r="37" spans="1:14" x14ac:dyDescent="0.35">
      <c r="A37" s="112"/>
      <c r="B37" s="113"/>
      <c r="C37" s="113"/>
      <c r="D37" s="113"/>
      <c r="E37" s="113"/>
      <c r="F37" s="113"/>
      <c r="G37" s="113"/>
      <c r="H37" s="113"/>
      <c r="I37" s="113"/>
      <c r="J37" s="113"/>
      <c r="K37" s="113"/>
      <c r="L37" s="114"/>
      <c r="M37" s="102"/>
      <c r="N37" s="103"/>
    </row>
    <row r="38" spans="1:14" x14ac:dyDescent="0.35">
      <c r="A38" s="106" t="s">
        <v>460</v>
      </c>
      <c r="B38" s="107"/>
      <c r="C38" s="107"/>
      <c r="D38" s="107"/>
      <c r="E38" s="107"/>
      <c r="F38" s="107"/>
      <c r="G38" s="107"/>
      <c r="H38" s="107"/>
      <c r="I38" s="107"/>
      <c r="J38" s="107"/>
      <c r="K38" s="107"/>
      <c r="L38" s="108"/>
      <c r="M38" s="102" t="s">
        <v>66</v>
      </c>
      <c r="N38" s="104" t="s">
        <v>210</v>
      </c>
    </row>
    <row r="39" spans="1:14" x14ac:dyDescent="0.35">
      <c r="A39" s="109"/>
      <c r="B39" s="110"/>
      <c r="C39" s="110"/>
      <c r="D39" s="110"/>
      <c r="E39" s="110"/>
      <c r="F39" s="110"/>
      <c r="G39" s="110"/>
      <c r="H39" s="110"/>
      <c r="I39" s="110"/>
      <c r="J39" s="110"/>
      <c r="K39" s="110"/>
      <c r="L39" s="111"/>
      <c r="M39" s="102"/>
      <c r="N39" s="104"/>
    </row>
    <row r="40" spans="1:14" x14ac:dyDescent="0.35">
      <c r="A40" s="112"/>
      <c r="B40" s="113"/>
      <c r="C40" s="113"/>
      <c r="D40" s="113"/>
      <c r="E40" s="113"/>
      <c r="F40" s="113"/>
      <c r="G40" s="113"/>
      <c r="H40" s="113"/>
      <c r="I40" s="113"/>
      <c r="J40" s="113"/>
      <c r="K40" s="113"/>
      <c r="L40" s="114"/>
      <c r="M40" s="102"/>
      <c r="N40" s="104"/>
    </row>
    <row r="41" spans="1:14" x14ac:dyDescent="0.35">
      <c r="A41" s="106" t="s">
        <v>462</v>
      </c>
      <c r="B41" s="107"/>
      <c r="C41" s="107"/>
      <c r="D41" s="107"/>
      <c r="E41" s="107"/>
      <c r="F41" s="107"/>
      <c r="G41" s="107"/>
      <c r="H41" s="107"/>
      <c r="I41" s="107"/>
      <c r="J41" s="107"/>
      <c r="K41" s="107"/>
      <c r="L41" s="108"/>
      <c r="M41" s="100" t="s">
        <v>208</v>
      </c>
      <c r="N41" s="101" t="s">
        <v>67</v>
      </c>
    </row>
    <row r="42" spans="1:14" x14ac:dyDescent="0.35">
      <c r="A42" s="109"/>
      <c r="B42" s="110"/>
      <c r="C42" s="110"/>
      <c r="D42" s="110"/>
      <c r="E42" s="110"/>
      <c r="F42" s="110"/>
      <c r="G42" s="110"/>
      <c r="H42" s="110"/>
      <c r="I42" s="110"/>
      <c r="J42" s="110"/>
      <c r="K42" s="110"/>
      <c r="L42" s="111"/>
      <c r="M42" s="100"/>
      <c r="N42" s="101"/>
    </row>
    <row r="43" spans="1:14" x14ac:dyDescent="0.35">
      <c r="A43" s="112"/>
      <c r="B43" s="113"/>
      <c r="C43" s="113"/>
      <c r="D43" s="113"/>
      <c r="E43" s="113"/>
      <c r="F43" s="113"/>
      <c r="G43" s="113"/>
      <c r="H43" s="113"/>
      <c r="I43" s="113"/>
      <c r="J43" s="113"/>
      <c r="K43" s="113"/>
      <c r="L43" s="114"/>
      <c r="M43" s="100"/>
      <c r="N43" s="101"/>
    </row>
    <row r="45" spans="1:14" x14ac:dyDescent="0.35">
      <c r="A45" s="63" t="s">
        <v>463</v>
      </c>
      <c r="B45" s="64"/>
      <c r="C45" s="64"/>
      <c r="D45" s="64"/>
      <c r="E45" s="64"/>
      <c r="F45" s="64"/>
      <c r="G45" s="64"/>
      <c r="H45" s="64"/>
      <c r="I45" s="64"/>
      <c r="J45" s="64"/>
      <c r="K45" s="64"/>
      <c r="L45" s="64"/>
      <c r="M45" s="64"/>
      <c r="N45" s="65"/>
    </row>
    <row r="46" spans="1:14" x14ac:dyDescent="0.35">
      <c r="A46" s="106" t="s">
        <v>465</v>
      </c>
      <c r="B46" s="107"/>
      <c r="C46" s="107"/>
      <c r="D46" s="107"/>
      <c r="E46" s="107"/>
      <c r="F46" s="107"/>
      <c r="G46" s="107"/>
      <c r="H46" s="107"/>
      <c r="I46" s="107"/>
      <c r="J46" s="107"/>
      <c r="K46" s="107"/>
      <c r="L46" s="108"/>
      <c r="M46" s="102" t="s">
        <v>66</v>
      </c>
      <c r="N46" s="103" t="s">
        <v>207</v>
      </c>
    </row>
    <row r="47" spans="1:14" x14ac:dyDescent="0.35">
      <c r="A47" s="109"/>
      <c r="B47" s="110"/>
      <c r="C47" s="110"/>
      <c r="D47" s="110"/>
      <c r="E47" s="110"/>
      <c r="F47" s="110"/>
      <c r="G47" s="110"/>
      <c r="H47" s="110"/>
      <c r="I47" s="110"/>
      <c r="J47" s="110"/>
      <c r="K47" s="110"/>
      <c r="L47" s="111"/>
      <c r="M47" s="102"/>
      <c r="N47" s="103"/>
    </row>
    <row r="48" spans="1:14" x14ac:dyDescent="0.35">
      <c r="A48" s="112"/>
      <c r="B48" s="113"/>
      <c r="C48" s="113"/>
      <c r="D48" s="113"/>
      <c r="E48" s="113"/>
      <c r="F48" s="113"/>
      <c r="G48" s="113"/>
      <c r="H48" s="113"/>
      <c r="I48" s="113"/>
      <c r="J48" s="113"/>
      <c r="K48" s="113"/>
      <c r="L48" s="114"/>
      <c r="M48" s="102"/>
      <c r="N48" s="103"/>
    </row>
    <row r="49" spans="1:14" x14ac:dyDescent="0.35">
      <c r="A49" s="106" t="s">
        <v>464</v>
      </c>
      <c r="B49" s="107"/>
      <c r="C49" s="107"/>
      <c r="D49" s="107"/>
      <c r="E49" s="107"/>
      <c r="F49" s="107"/>
      <c r="G49" s="107"/>
      <c r="H49" s="107"/>
      <c r="I49" s="107"/>
      <c r="J49" s="107"/>
      <c r="K49" s="107"/>
      <c r="L49" s="108"/>
      <c r="M49" s="102" t="s">
        <v>66</v>
      </c>
      <c r="N49" s="103" t="s">
        <v>207</v>
      </c>
    </row>
    <row r="50" spans="1:14" x14ac:dyDescent="0.35">
      <c r="A50" s="109"/>
      <c r="B50" s="110"/>
      <c r="C50" s="110"/>
      <c r="D50" s="110"/>
      <c r="E50" s="110"/>
      <c r="F50" s="110"/>
      <c r="G50" s="110"/>
      <c r="H50" s="110"/>
      <c r="I50" s="110"/>
      <c r="J50" s="110"/>
      <c r="K50" s="110"/>
      <c r="L50" s="111"/>
      <c r="M50" s="102"/>
      <c r="N50" s="103"/>
    </row>
    <row r="51" spans="1:14" x14ac:dyDescent="0.35">
      <c r="A51" s="112"/>
      <c r="B51" s="113"/>
      <c r="C51" s="113"/>
      <c r="D51" s="113"/>
      <c r="E51" s="113"/>
      <c r="F51" s="113"/>
      <c r="G51" s="113"/>
      <c r="H51" s="113"/>
      <c r="I51" s="113"/>
      <c r="J51" s="113"/>
      <c r="K51" s="113"/>
      <c r="L51" s="114"/>
      <c r="M51" s="102"/>
      <c r="N51" s="103"/>
    </row>
    <row r="52" spans="1:14" x14ac:dyDescent="0.35">
      <c r="A52" s="106" t="s">
        <v>466</v>
      </c>
      <c r="B52" s="107"/>
      <c r="C52" s="107"/>
      <c r="D52" s="107"/>
      <c r="E52" s="107"/>
      <c r="F52" s="107"/>
      <c r="G52" s="107"/>
      <c r="H52" s="107"/>
      <c r="I52" s="107"/>
      <c r="J52" s="107"/>
      <c r="K52" s="107"/>
      <c r="L52" s="108"/>
      <c r="M52" s="100" t="s">
        <v>208</v>
      </c>
      <c r="N52" s="101" t="s">
        <v>67</v>
      </c>
    </row>
    <row r="53" spans="1:14" x14ac:dyDescent="0.35">
      <c r="A53" s="109"/>
      <c r="B53" s="110"/>
      <c r="C53" s="110"/>
      <c r="D53" s="110"/>
      <c r="E53" s="110"/>
      <c r="F53" s="110"/>
      <c r="G53" s="110"/>
      <c r="H53" s="110"/>
      <c r="I53" s="110"/>
      <c r="J53" s="110"/>
      <c r="K53" s="110"/>
      <c r="L53" s="111"/>
      <c r="M53" s="100"/>
      <c r="N53" s="101"/>
    </row>
    <row r="54" spans="1:14" x14ac:dyDescent="0.35">
      <c r="A54" s="112"/>
      <c r="B54" s="113"/>
      <c r="C54" s="113"/>
      <c r="D54" s="113"/>
      <c r="E54" s="113"/>
      <c r="F54" s="113"/>
      <c r="G54" s="113"/>
      <c r="H54" s="113"/>
      <c r="I54" s="113"/>
      <c r="J54" s="113"/>
      <c r="K54" s="113"/>
      <c r="L54" s="114"/>
      <c r="M54" s="100"/>
      <c r="N54" s="101"/>
    </row>
    <row r="55" spans="1:14" x14ac:dyDescent="0.35">
      <c r="A55" s="106" t="s">
        <v>467</v>
      </c>
      <c r="B55" s="107"/>
      <c r="C55" s="107"/>
      <c r="D55" s="107"/>
      <c r="E55" s="107"/>
      <c r="F55" s="107"/>
      <c r="G55" s="107"/>
      <c r="H55" s="107"/>
      <c r="I55" s="107"/>
      <c r="J55" s="107"/>
      <c r="K55" s="107"/>
      <c r="L55" s="108"/>
      <c r="M55" s="100" t="s">
        <v>208</v>
      </c>
      <c r="N55" s="101" t="s">
        <v>67</v>
      </c>
    </row>
    <row r="56" spans="1:14" x14ac:dyDescent="0.35">
      <c r="A56" s="109"/>
      <c r="B56" s="110"/>
      <c r="C56" s="110"/>
      <c r="D56" s="110"/>
      <c r="E56" s="110"/>
      <c r="F56" s="110"/>
      <c r="G56" s="110"/>
      <c r="H56" s="110"/>
      <c r="I56" s="110"/>
      <c r="J56" s="110"/>
      <c r="K56" s="110"/>
      <c r="L56" s="111"/>
      <c r="M56" s="100"/>
      <c r="N56" s="101"/>
    </row>
    <row r="57" spans="1:14" x14ac:dyDescent="0.35">
      <c r="A57" s="112"/>
      <c r="B57" s="113"/>
      <c r="C57" s="113"/>
      <c r="D57" s="113"/>
      <c r="E57" s="113"/>
      <c r="F57" s="113"/>
      <c r="G57" s="113"/>
      <c r="H57" s="113"/>
      <c r="I57" s="113"/>
      <c r="J57" s="113"/>
      <c r="K57" s="113"/>
      <c r="L57" s="114"/>
      <c r="M57" s="100"/>
      <c r="N57" s="101"/>
    </row>
    <row r="58" spans="1:14" x14ac:dyDescent="0.35">
      <c r="K58" s="181" t="s">
        <v>469</v>
      </c>
      <c r="L58" s="181"/>
      <c r="M58" s="181"/>
      <c r="N58" s="181"/>
    </row>
  </sheetData>
  <sheetProtection algorithmName="SHA-512" hashValue="rXrG5cmYOKQ9Jl6/43Gj5Wx3DY2d1C2sMd3E1shl46QwmBr90vrWauDju3ttsTrdYDLGR5f4sF32UoX5/HbDIw==" saltValue="v+rVx7HiKY0msCcDbxqd9Q==" spinCount="100000" sheet="1" objects="1" scenarios="1"/>
  <mergeCells count="40">
    <mergeCell ref="A55:L57"/>
    <mergeCell ref="M55:M57"/>
    <mergeCell ref="N55:N57"/>
    <mergeCell ref="K58:N58"/>
    <mergeCell ref="A49:L51"/>
    <mergeCell ref="M49:M51"/>
    <mergeCell ref="N49:N51"/>
    <mergeCell ref="A52:L54"/>
    <mergeCell ref="M52:M54"/>
    <mergeCell ref="N52:N54"/>
    <mergeCell ref="A41:L43"/>
    <mergeCell ref="M41:M43"/>
    <mergeCell ref="N41:N43"/>
    <mergeCell ref="A46:L48"/>
    <mergeCell ref="M46:M48"/>
    <mergeCell ref="N46:N48"/>
    <mergeCell ref="A35:L37"/>
    <mergeCell ref="M35:M37"/>
    <mergeCell ref="N35:N37"/>
    <mergeCell ref="A38:L40"/>
    <mergeCell ref="M38:M40"/>
    <mergeCell ref="N38:N40"/>
    <mergeCell ref="A1:N2"/>
    <mergeCell ref="F5:G6"/>
    <mergeCell ref="C7:J7"/>
    <mergeCell ref="C8:C9"/>
    <mergeCell ref="G24:I26"/>
    <mergeCell ref="L24:N24"/>
    <mergeCell ref="J8:J9"/>
    <mergeCell ref="J16:K16"/>
    <mergeCell ref="H18:M20"/>
    <mergeCell ref="G22:I22"/>
    <mergeCell ref="L22:N22"/>
    <mergeCell ref="E27:K27"/>
    <mergeCell ref="C11:C12"/>
    <mergeCell ref="A13:E14"/>
    <mergeCell ref="A16:E16"/>
    <mergeCell ref="A10:E10"/>
    <mergeCell ref="H10:M13"/>
    <mergeCell ref="H14:M14"/>
  </mergeCells>
  <conditionalFormatting sqref="C7:J7">
    <cfRule type="notContainsBlanks" dxfId="19" priority="1">
      <formula>LEN(TRIM(C7))&gt;0</formula>
    </cfRule>
    <cfRule type="containsText" dxfId="18" priority="5" operator="containsText" text="12">
      <formula>NOT(ISERROR(SEARCH("12",C7)))</formula>
    </cfRule>
  </conditionalFormatting>
  <conditionalFormatting sqref="H14:M14 E27">
    <cfRule type="containsText" dxfId="17" priority="4" operator="containsText" text="CHA2DS2-VASc">
      <formula>NOT(ISERROR(SEARCH("CHA2DS2-VASc",E14)))</formula>
    </cfRule>
  </conditionalFormatting>
  <conditionalFormatting sqref="H18:M20">
    <cfRule type="notContainsBlanks" dxfId="16" priority="3">
      <formula>LEN(TRIM(H18))&gt;0</formula>
    </cfRule>
  </conditionalFormatting>
  <hyperlinks>
    <hyperlink ref="A1:N2" location="Main!A1" display="კლინიკური მიდგომა და საკვანძო რეკომენდაციები" xr:uid="{FD6349BA-125A-4F10-9E7F-90497E8A4C66}"/>
    <hyperlink ref="H14:M14" location="CHA2DS2VASc!A1" display="CHA2DS2VASc!A1" xr:uid="{4AE65239-4A95-496B-AB39-4DDABA817DCF}"/>
    <hyperlink ref="E27:K27" location="CHA2DS2VASc!A1" display="CHA2DS2VASc!A1" xr:uid="{AFBBE06C-7858-4581-86CD-40139DE4AAA8}"/>
    <hyperlink ref="A16:E16" location="CHA2DS2VASc!A1" display="CHA2DS2VASc!A1" xr:uid="{675A2C3F-E3FE-483A-B2CE-92C6E77FDA76}"/>
    <hyperlink ref="M35:M37" location="Evidence!A1" display="I" xr:uid="{529BA8C2-875F-45C5-8B66-397F093DD0B6}"/>
    <hyperlink ref="N35:N37" location="Evidence!A1" display="B" xr:uid="{F0257F78-A662-46F1-9BC8-9DC4D2DCDAA4}"/>
    <hyperlink ref="M38:M40" location="Evidence!A1" display="I" xr:uid="{C652A40A-A88C-495F-BB9F-449B3AA57C60}"/>
    <hyperlink ref="N38:N40" location="Evidence!A1" display="B" xr:uid="{5FDB5FEF-0F8D-4215-AF18-C0D7249C081C}"/>
    <hyperlink ref="M41:M43" location="Evidence!A1" display="I" xr:uid="{FC3D3F6D-6644-40D9-84E0-7717C1584D58}"/>
    <hyperlink ref="N41:N43" location="Evidence!A1" display="B" xr:uid="{66EF55B4-FCEF-41B8-90DF-B69F47AFB207}"/>
    <hyperlink ref="M46:M48" location="Evidence!A1" display="I" xr:uid="{984D080C-A8BE-4D5D-A23C-ED10E9C5973E}"/>
    <hyperlink ref="N46:N48" location="Evidence!A1" display="B" xr:uid="{2B44A474-8E40-4D4E-A5CE-0340B37885B2}"/>
    <hyperlink ref="M49:M51" location="Evidence!A1" display="I" xr:uid="{8F3047E0-125D-4E6C-9277-B1B0548D9E87}"/>
    <hyperlink ref="N49:N51" location="Evidence!A1" display="B" xr:uid="{08AFBC36-07C1-4B13-B3B0-9356AB418D4A}"/>
    <hyperlink ref="M52:M54" location="Evidence!A1" display="I" xr:uid="{84EF8407-5F31-4F6F-A080-4B4E3E10CA4B}"/>
    <hyperlink ref="N52:N54" location="Evidence!A1" display="B" xr:uid="{59F5B84F-0727-41C2-AF8E-8F8D0EB31B9A}"/>
    <hyperlink ref="M55:M57" location="Evidence!A1" display="I" xr:uid="{851111B6-4F4F-44A5-B89C-3A5119879FE6}"/>
    <hyperlink ref="N55:N57" location="Evidence!A1" display="B" xr:uid="{2D7D7426-2687-4984-9D75-094C6840A9F1}"/>
    <hyperlink ref="K58:N58" location="CHA2DS2VASc!A1" display="იხილეთ HAS-BLED კალკულატორი" xr:uid="{679C49E1-F304-491C-95D2-D974832E71F3}"/>
  </hyperlinks>
  <printOptions gridLines="1"/>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Drop Down 1">
              <controlPr defaultSize="0" autoLine="0" autoPict="0">
                <anchor moveWithCells="1">
                  <from>
                    <xdr:col>2</xdr:col>
                    <xdr:colOff>12700</xdr:colOff>
                    <xdr:row>3</xdr:row>
                    <xdr:rowOff>0</xdr:rowOff>
                  </from>
                  <to>
                    <xdr:col>10</xdr:col>
                    <xdr:colOff>203200</xdr:colOff>
                    <xdr:row>4</xdr:row>
                    <xdr:rowOff>69850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C012-EEE2-4813-8D96-22790451773A}">
  <dimension ref="A1:U71"/>
  <sheetViews>
    <sheetView workbookViewId="0">
      <selection sqref="A1:O2"/>
    </sheetView>
  </sheetViews>
  <sheetFormatPr defaultColWidth="8.7265625" defaultRowHeight="14.5" x14ac:dyDescent="0.35"/>
  <cols>
    <col min="1" max="16384" width="8.7265625" style="1"/>
  </cols>
  <sheetData>
    <row r="1" spans="1:17" x14ac:dyDescent="0.35">
      <c r="A1" s="183" t="s">
        <v>458</v>
      </c>
      <c r="B1" s="183"/>
      <c r="C1" s="183"/>
      <c r="D1" s="183"/>
      <c r="E1" s="183"/>
      <c r="F1" s="183"/>
      <c r="G1" s="183"/>
      <c r="H1" s="183"/>
      <c r="I1" s="183"/>
      <c r="J1" s="183"/>
      <c r="K1" s="183"/>
      <c r="L1" s="183"/>
      <c r="M1" s="183"/>
      <c r="N1" s="183"/>
      <c r="O1" s="183"/>
    </row>
    <row r="2" spans="1:17" x14ac:dyDescent="0.35">
      <c r="A2" s="183"/>
      <c r="B2" s="183"/>
      <c r="C2" s="183"/>
      <c r="D2" s="183"/>
      <c r="E2" s="183"/>
      <c r="F2" s="183"/>
      <c r="G2" s="183"/>
      <c r="H2" s="183"/>
      <c r="I2" s="183"/>
      <c r="J2" s="183"/>
      <c r="K2" s="183"/>
      <c r="L2" s="183"/>
      <c r="M2" s="183"/>
      <c r="N2" s="183"/>
      <c r="O2" s="183"/>
    </row>
    <row r="4" spans="1:17" x14ac:dyDescent="0.35">
      <c r="A4" s="1" t="s">
        <v>447</v>
      </c>
      <c r="B4" s="61"/>
      <c r="C4" s="1" t="s">
        <v>187</v>
      </c>
      <c r="O4" s="37">
        <f>IF(B4&lt;65,0,IF(AND(B4&gt;64,B4&lt;75),1,IF(B4&gt;74,2,"")))</f>
        <v>0</v>
      </c>
      <c r="P4" s="37"/>
      <c r="Q4" s="37"/>
    </row>
    <row r="5" spans="1:17" x14ac:dyDescent="0.35">
      <c r="O5" s="37"/>
      <c r="P5" s="37"/>
      <c r="Q5" s="37"/>
    </row>
    <row r="6" spans="1:17" x14ac:dyDescent="0.35">
      <c r="B6" s="1" t="s">
        <v>452</v>
      </c>
      <c r="C6" s="1" t="s">
        <v>453</v>
      </c>
      <c r="O6" s="37" t="str">
        <f>IF(AND(P6,Q6=FALSE),0,IF(AND(P6=FALSE,Q6),1,""))</f>
        <v/>
      </c>
      <c r="P6" s="62" t="b">
        <v>0</v>
      </c>
      <c r="Q6" s="62" t="b">
        <v>0</v>
      </c>
    </row>
    <row r="7" spans="1:17" x14ac:dyDescent="0.35">
      <c r="O7" s="37"/>
      <c r="P7" s="37"/>
      <c r="Q7" s="37"/>
    </row>
    <row r="8" spans="1:17" x14ac:dyDescent="0.35">
      <c r="B8" s="1" t="s">
        <v>448</v>
      </c>
      <c r="O8" s="37">
        <f>IF(P8,1,0)</f>
        <v>0</v>
      </c>
      <c r="P8" s="62" t="b">
        <v>0</v>
      </c>
      <c r="Q8" s="37"/>
    </row>
    <row r="9" spans="1:17" x14ac:dyDescent="0.35">
      <c r="O9" s="37"/>
      <c r="P9" s="37"/>
      <c r="Q9" s="37"/>
    </row>
    <row r="10" spans="1:17" x14ac:dyDescent="0.35">
      <c r="B10" s="1" t="s">
        <v>449</v>
      </c>
      <c r="O10" s="37">
        <f>IF(P10,1,0)</f>
        <v>0</v>
      </c>
      <c r="P10" s="62" t="b">
        <v>0</v>
      </c>
      <c r="Q10" s="37"/>
    </row>
    <row r="11" spans="1:17" x14ac:dyDescent="0.35">
      <c r="O11" s="37"/>
      <c r="P11" s="37"/>
      <c r="Q11" s="37"/>
    </row>
    <row r="12" spans="1:17" x14ac:dyDescent="0.35">
      <c r="B12" s="1" t="s">
        <v>450</v>
      </c>
      <c r="O12" s="37">
        <f>IF(P12,2,0)</f>
        <v>0</v>
      </c>
      <c r="P12" s="62" t="b">
        <v>0</v>
      </c>
      <c r="Q12" s="37"/>
    </row>
    <row r="13" spans="1:17" x14ac:dyDescent="0.35">
      <c r="O13" s="37"/>
      <c r="P13" s="37"/>
      <c r="Q13" s="37"/>
    </row>
    <row r="14" spans="1:17" x14ac:dyDescent="0.35">
      <c r="B14" s="184" t="s">
        <v>451</v>
      </c>
      <c r="C14" s="184"/>
      <c r="D14" s="184"/>
      <c r="E14" s="184"/>
      <c r="F14" s="184"/>
      <c r="G14" s="184"/>
      <c r="H14" s="184"/>
      <c r="I14" s="184"/>
      <c r="J14" s="184"/>
      <c r="K14" s="184"/>
      <c r="L14" s="184"/>
      <c r="M14" s="184"/>
      <c r="O14" s="37">
        <f>IF(P14,1,0)</f>
        <v>0</v>
      </c>
      <c r="P14" s="62" t="b">
        <v>0</v>
      </c>
      <c r="Q14" s="37"/>
    </row>
    <row r="15" spans="1:17" x14ac:dyDescent="0.35">
      <c r="B15" s="184"/>
      <c r="C15" s="184"/>
      <c r="D15" s="184"/>
      <c r="E15" s="184"/>
      <c r="F15" s="184"/>
      <c r="G15" s="184"/>
      <c r="H15" s="184"/>
      <c r="I15" s="184"/>
      <c r="J15" s="184"/>
      <c r="K15" s="184"/>
      <c r="L15" s="184"/>
      <c r="M15" s="184"/>
      <c r="O15" s="37"/>
      <c r="P15" s="37"/>
      <c r="Q15" s="37"/>
    </row>
    <row r="16" spans="1:17" x14ac:dyDescent="0.35">
      <c r="O16" s="37">
        <f>IF(P16,1,0)</f>
        <v>0</v>
      </c>
      <c r="P16" s="62" t="b">
        <v>0</v>
      </c>
      <c r="Q16" s="37"/>
    </row>
    <row r="17" spans="1:18" x14ac:dyDescent="0.35">
      <c r="B17" s="1" t="s">
        <v>454</v>
      </c>
      <c r="O17" s="37"/>
      <c r="P17" s="37"/>
      <c r="Q17" s="37"/>
    </row>
    <row r="18" spans="1:18" x14ac:dyDescent="0.35">
      <c r="O18" s="37">
        <f>SUM(O4:O17)</f>
        <v>0</v>
      </c>
      <c r="P18" s="37"/>
      <c r="Q18" s="37"/>
    </row>
    <row r="20" spans="1:18" ht="16.5" x14ac:dyDescent="0.35">
      <c r="A20" s="185" t="s">
        <v>455</v>
      </c>
      <c r="B20" s="185"/>
      <c r="C20" s="185"/>
      <c r="D20" s="60">
        <f>O18</f>
        <v>0</v>
      </c>
    </row>
    <row r="22" spans="1:18" x14ac:dyDescent="0.35">
      <c r="A22" s="59" t="s">
        <v>456</v>
      </c>
      <c r="D22" s="60">
        <f>IF(D20=0,Q22,IF(D20=2,Q23,IF(D20=2,Q24,IF(D20=0,Q25,IF(D20=4,Q26,IF(D20=5,Q27,IF(D20=6,Q28,IF(D20=7,Q29,IF(D20=8,Q30,IF(D20=9,Q31,""))))))))))</f>
        <v>0.2</v>
      </c>
      <c r="E22" s="1" t="s">
        <v>205</v>
      </c>
      <c r="F22" s="185" t="s">
        <v>457</v>
      </c>
      <c r="G22" s="185"/>
      <c r="H22" s="185"/>
      <c r="I22" s="185"/>
      <c r="J22" s="185"/>
      <c r="K22" s="185"/>
      <c r="L22" s="185"/>
      <c r="M22" s="185"/>
      <c r="N22" s="185"/>
      <c r="O22" s="60">
        <f>IF(D20=0,R22,IF(D20=2,R23,IF(D20=2,R24,IF(D20=0,R25,IF(D20=4,R26,IF(D20=5,R27,IF(D20=6,R28,IF(D20=7,R29,IF(D20=8,R30,IF(D20=9,R31,""))))))))))</f>
        <v>0.3</v>
      </c>
      <c r="P22" s="37">
        <v>0</v>
      </c>
      <c r="Q22" s="37">
        <v>0.2</v>
      </c>
      <c r="R22" s="37">
        <v>0.3</v>
      </c>
    </row>
    <row r="23" spans="1:18" x14ac:dyDescent="0.35">
      <c r="P23" s="37">
        <v>1</v>
      </c>
      <c r="Q23" s="37">
        <v>0.6</v>
      </c>
      <c r="R23" s="37">
        <v>0.9</v>
      </c>
    </row>
    <row r="24" spans="1:18" x14ac:dyDescent="0.35">
      <c r="P24" s="37">
        <v>2</v>
      </c>
      <c r="Q24" s="37">
        <v>2.2000000000000002</v>
      </c>
      <c r="R24" s="37">
        <v>2.9</v>
      </c>
    </row>
    <row r="25" spans="1:18" x14ac:dyDescent="0.35">
      <c r="P25" s="37">
        <v>3</v>
      </c>
      <c r="Q25" s="37">
        <v>3.2</v>
      </c>
      <c r="R25" s="37">
        <v>4.5999999999999996</v>
      </c>
    </row>
    <row r="26" spans="1:18" x14ac:dyDescent="0.35">
      <c r="P26" s="37">
        <v>4</v>
      </c>
      <c r="Q26" s="37">
        <v>4.8</v>
      </c>
      <c r="R26" s="37">
        <v>6.7</v>
      </c>
    </row>
    <row r="27" spans="1:18" x14ac:dyDescent="0.35">
      <c r="P27" s="37">
        <v>5</v>
      </c>
      <c r="Q27" s="37">
        <v>7.2</v>
      </c>
      <c r="R27" s="37">
        <v>10</v>
      </c>
    </row>
    <row r="28" spans="1:18" x14ac:dyDescent="0.35">
      <c r="P28" s="37">
        <v>6</v>
      </c>
      <c r="Q28" s="37">
        <v>9.6999999999999993</v>
      </c>
      <c r="R28" s="37">
        <v>13.6</v>
      </c>
    </row>
    <row r="29" spans="1:18" x14ac:dyDescent="0.35">
      <c r="P29" s="37">
        <v>7</v>
      </c>
      <c r="Q29" s="37">
        <v>11.2</v>
      </c>
      <c r="R29" s="37">
        <v>15.7</v>
      </c>
    </row>
    <row r="30" spans="1:18" x14ac:dyDescent="0.35">
      <c r="P30" s="37">
        <v>8</v>
      </c>
      <c r="Q30" s="37">
        <v>10.8</v>
      </c>
      <c r="R30" s="37">
        <v>15.2</v>
      </c>
    </row>
    <row r="31" spans="1:18" x14ac:dyDescent="0.35">
      <c r="P31" s="37">
        <v>9</v>
      </c>
      <c r="Q31" s="37">
        <v>12.2</v>
      </c>
      <c r="R31" s="37">
        <v>17.399999999999999</v>
      </c>
    </row>
    <row r="32" spans="1:18" x14ac:dyDescent="0.35">
      <c r="P32" s="37"/>
      <c r="Q32" s="37"/>
      <c r="R32" s="37"/>
    </row>
    <row r="33" spans="1:21" x14ac:dyDescent="0.35">
      <c r="P33" s="37"/>
      <c r="Q33" s="37"/>
      <c r="R33" s="37"/>
    </row>
    <row r="34" spans="1:21" x14ac:dyDescent="0.35">
      <c r="A34" s="183" t="s">
        <v>468</v>
      </c>
      <c r="B34" s="183"/>
      <c r="C34" s="183"/>
      <c r="D34" s="183"/>
      <c r="E34" s="183"/>
      <c r="F34" s="183"/>
      <c r="G34" s="183"/>
      <c r="H34" s="183"/>
      <c r="I34" s="183"/>
      <c r="J34" s="183"/>
      <c r="K34" s="183"/>
      <c r="L34" s="183"/>
      <c r="M34" s="183"/>
      <c r="N34" s="183"/>
      <c r="O34" s="183"/>
      <c r="P34" s="37"/>
      <c r="Q34" s="37"/>
      <c r="R34" s="37"/>
    </row>
    <row r="35" spans="1:21" x14ac:dyDescent="0.35">
      <c r="A35" s="183"/>
      <c r="B35" s="183"/>
      <c r="C35" s="183"/>
      <c r="D35" s="183"/>
      <c r="E35" s="183"/>
      <c r="F35" s="183"/>
      <c r="G35" s="183"/>
      <c r="H35" s="183"/>
      <c r="I35" s="183"/>
      <c r="J35" s="183"/>
      <c r="K35" s="183"/>
      <c r="L35" s="183"/>
      <c r="M35" s="183"/>
      <c r="N35" s="183"/>
      <c r="O35" s="183"/>
      <c r="P35" s="37"/>
      <c r="Q35" s="37"/>
      <c r="R35" s="37"/>
    </row>
    <row r="37" spans="1:21" x14ac:dyDescent="0.35">
      <c r="B37" s="1" t="s">
        <v>470</v>
      </c>
      <c r="P37" s="62" t="b">
        <v>0</v>
      </c>
      <c r="Q37" s="37" t="str">
        <f>IF(P37,1,"")</f>
        <v/>
      </c>
      <c r="R37" s="37"/>
      <c r="S37" s="37"/>
      <c r="T37" s="37"/>
      <c r="U37" s="37"/>
    </row>
    <row r="38" spans="1:21" x14ac:dyDescent="0.35">
      <c r="P38" s="37"/>
      <c r="Q38" s="37"/>
      <c r="R38" s="37"/>
      <c r="S38" s="37"/>
      <c r="T38" s="37"/>
      <c r="U38" s="37"/>
    </row>
    <row r="39" spans="1:21" x14ac:dyDescent="0.35">
      <c r="B39" s="1" t="s">
        <v>471</v>
      </c>
      <c r="P39" s="62" t="b">
        <v>0</v>
      </c>
      <c r="Q39" s="37" t="str">
        <f>IF(P39,1,"")</f>
        <v/>
      </c>
      <c r="R39" s="37"/>
      <c r="S39" s="37"/>
      <c r="T39" s="37"/>
      <c r="U39" s="37"/>
    </row>
    <row r="40" spans="1:21" x14ac:dyDescent="0.35">
      <c r="P40" s="37"/>
      <c r="Q40" s="37"/>
      <c r="R40" s="37"/>
      <c r="S40" s="37"/>
      <c r="T40" s="37"/>
      <c r="U40" s="37"/>
    </row>
    <row r="41" spans="1:21" x14ac:dyDescent="0.35">
      <c r="B41" s="1" t="s">
        <v>472</v>
      </c>
      <c r="P41" s="62" t="b">
        <v>0</v>
      </c>
      <c r="Q41" s="37" t="str">
        <f>IF(P41,1,"")</f>
        <v/>
      </c>
      <c r="R41" s="37"/>
      <c r="S41" s="37"/>
      <c r="T41" s="37"/>
      <c r="U41" s="37"/>
    </row>
    <row r="42" spans="1:21" x14ac:dyDescent="0.35">
      <c r="P42" s="37"/>
      <c r="Q42" s="37"/>
      <c r="R42" s="37"/>
      <c r="S42" s="37"/>
      <c r="T42" s="37"/>
      <c r="U42" s="37"/>
    </row>
    <row r="43" spans="1:21" x14ac:dyDescent="0.35">
      <c r="B43" s="1" t="s">
        <v>473</v>
      </c>
      <c r="P43" s="62" t="b">
        <v>0</v>
      </c>
      <c r="Q43" s="37" t="str">
        <f>IF(P43,1,"")</f>
        <v/>
      </c>
      <c r="R43" s="37"/>
      <c r="S43" s="37"/>
      <c r="T43" s="37"/>
      <c r="U43" s="37"/>
    </row>
    <row r="44" spans="1:21" x14ac:dyDescent="0.35">
      <c r="P44" s="37"/>
      <c r="Q44" s="37"/>
      <c r="R44" s="37"/>
      <c r="S44" s="37"/>
      <c r="T44" s="37"/>
      <c r="U44" s="37"/>
    </row>
    <row r="45" spans="1:21" x14ac:dyDescent="0.35">
      <c r="B45" s="1" t="s">
        <v>474</v>
      </c>
      <c r="P45" s="62" t="b">
        <v>0</v>
      </c>
      <c r="Q45" s="37" t="str">
        <f>IF(P45,1,"")</f>
        <v/>
      </c>
      <c r="R45" s="37"/>
      <c r="S45" s="37"/>
      <c r="T45" s="37"/>
      <c r="U45" s="37"/>
    </row>
    <row r="46" spans="1:21" x14ac:dyDescent="0.35">
      <c r="P46" s="37"/>
      <c r="Q46" s="37"/>
      <c r="R46" s="37"/>
      <c r="S46" s="37"/>
      <c r="T46" s="37"/>
      <c r="U46" s="37"/>
    </row>
    <row r="47" spans="1:21" x14ac:dyDescent="0.35">
      <c r="B47" s="1" t="s">
        <v>475</v>
      </c>
      <c r="P47" s="62" t="b">
        <v>0</v>
      </c>
      <c r="Q47" s="37" t="str">
        <f>IF(P47,1,"")</f>
        <v/>
      </c>
      <c r="R47" s="37"/>
      <c r="S47" s="37"/>
      <c r="T47" s="37"/>
      <c r="U47" s="37"/>
    </row>
    <row r="48" spans="1:21" x14ac:dyDescent="0.35">
      <c r="P48" s="37"/>
      <c r="Q48" s="37"/>
      <c r="R48" s="37"/>
      <c r="S48" s="37"/>
      <c r="T48" s="37"/>
      <c r="U48" s="37"/>
    </row>
    <row r="49" spans="1:21" x14ac:dyDescent="0.35">
      <c r="B49" s="1" t="s">
        <v>476</v>
      </c>
      <c r="P49" s="62" t="b">
        <v>0</v>
      </c>
      <c r="Q49" s="37" t="str">
        <f>IF(P49,1,"")</f>
        <v/>
      </c>
      <c r="R49" s="37"/>
      <c r="S49" s="37"/>
      <c r="T49" s="37"/>
      <c r="U49" s="37"/>
    </row>
    <row r="50" spans="1:21" x14ac:dyDescent="0.35">
      <c r="P50" s="37"/>
      <c r="Q50" s="37"/>
      <c r="R50" s="37"/>
      <c r="S50" s="37"/>
      <c r="T50" s="37"/>
      <c r="U50" s="37"/>
    </row>
    <row r="51" spans="1:21" x14ac:dyDescent="0.35">
      <c r="B51" s="1" t="s">
        <v>477</v>
      </c>
      <c r="P51" s="62" t="b">
        <v>0</v>
      </c>
      <c r="Q51" s="37" t="str">
        <f>IF(P51,1,"")</f>
        <v/>
      </c>
      <c r="R51" s="37"/>
      <c r="S51" s="37"/>
      <c r="T51" s="37"/>
      <c r="U51" s="37"/>
    </row>
    <row r="52" spans="1:21" x14ac:dyDescent="0.35">
      <c r="P52" s="37"/>
      <c r="Q52" s="37"/>
      <c r="R52" s="37"/>
      <c r="S52" s="37"/>
      <c r="T52" s="37"/>
      <c r="U52" s="37"/>
    </row>
    <row r="53" spans="1:21" x14ac:dyDescent="0.35">
      <c r="B53" s="1" t="s">
        <v>478</v>
      </c>
      <c r="P53" s="62" t="b">
        <v>0</v>
      </c>
      <c r="Q53" s="37" t="str">
        <f>IF(P53,1,"")</f>
        <v/>
      </c>
      <c r="R53" s="37"/>
      <c r="S53" s="37"/>
      <c r="T53" s="37"/>
      <c r="U53" s="37"/>
    </row>
    <row r="54" spans="1:21" x14ac:dyDescent="0.35">
      <c r="P54" s="37"/>
      <c r="Q54" s="37">
        <f>SUM(Q37:Q53)</f>
        <v>0</v>
      </c>
      <c r="R54" s="37"/>
      <c r="S54" s="37"/>
      <c r="T54" s="37"/>
      <c r="U54" s="37"/>
    </row>
    <row r="55" spans="1:21" x14ac:dyDescent="0.35">
      <c r="P55" s="37"/>
      <c r="Q55" s="37"/>
      <c r="R55" s="37"/>
      <c r="S55" s="37"/>
      <c r="T55" s="37"/>
      <c r="U55" s="37"/>
    </row>
    <row r="56" spans="1:21" x14ac:dyDescent="0.35">
      <c r="A56" s="59" t="s">
        <v>479</v>
      </c>
      <c r="C56" s="60">
        <f>Q54</f>
        <v>0</v>
      </c>
      <c r="P56" s="37"/>
      <c r="Q56" s="37"/>
      <c r="R56" s="37"/>
      <c r="S56" s="37"/>
      <c r="T56" s="37"/>
      <c r="U56" s="37"/>
    </row>
    <row r="57" spans="1:21" x14ac:dyDescent="0.35">
      <c r="P57" s="37">
        <v>0</v>
      </c>
      <c r="Q57" s="37" t="s">
        <v>484</v>
      </c>
      <c r="R57" s="37">
        <v>0.9</v>
      </c>
      <c r="S57" s="37" t="s">
        <v>483</v>
      </c>
      <c r="T57" s="37"/>
      <c r="U57" s="37"/>
    </row>
    <row r="58" spans="1:21" x14ac:dyDescent="0.35">
      <c r="A58" s="59" t="s">
        <v>480</v>
      </c>
      <c r="C58" s="182" t="str">
        <f>IF(C56=0,Q57,IF(C56=1,Q58,IF(C56=2,Q59,IF(C56=3,Q60,IF(C56=4,Q61,IF(C56=5,Q62,IF(C56&gt;5,Q63,"")))))))</f>
        <v>შეფარდებით დაბალი</v>
      </c>
      <c r="D58" s="182"/>
      <c r="E58" s="182"/>
      <c r="F58" s="182"/>
      <c r="P58" s="37">
        <v>1</v>
      </c>
      <c r="Q58" s="37" t="s">
        <v>484</v>
      </c>
      <c r="R58" s="37">
        <v>3.4</v>
      </c>
      <c r="S58" s="37" t="s">
        <v>483</v>
      </c>
      <c r="T58" s="37"/>
      <c r="U58" s="37"/>
    </row>
    <row r="59" spans="1:21" x14ac:dyDescent="0.35">
      <c r="P59" s="37">
        <v>2</v>
      </c>
      <c r="Q59" s="37" t="s">
        <v>485</v>
      </c>
      <c r="R59" s="37">
        <v>4.0999999999999996</v>
      </c>
      <c r="S59" s="37" t="s">
        <v>486</v>
      </c>
      <c r="T59" s="37"/>
      <c r="U59" s="37"/>
    </row>
    <row r="60" spans="1:21" x14ac:dyDescent="0.35">
      <c r="A60" s="59" t="s">
        <v>481</v>
      </c>
      <c r="D60" s="60">
        <f>IF(C56=0,R57,IF(C56=1,R58,IF(C56=2,R59,IF(C56=3,R60,IF(C56=4,R61,IF(C56=5,R62,IF(C56&gt;5,R63,"")))))))</f>
        <v>0.9</v>
      </c>
      <c r="E60" s="1" t="s">
        <v>205</v>
      </c>
      <c r="P60" s="37">
        <v>3</v>
      </c>
      <c r="Q60" s="37" t="s">
        <v>301</v>
      </c>
      <c r="R60" s="37">
        <v>5.8</v>
      </c>
      <c r="S60" s="37" t="s">
        <v>487</v>
      </c>
      <c r="T60" s="37"/>
      <c r="U60" s="37"/>
    </row>
    <row r="61" spans="1:21" x14ac:dyDescent="0.35">
      <c r="P61" s="37">
        <v>4</v>
      </c>
      <c r="Q61" s="37" t="s">
        <v>301</v>
      </c>
      <c r="R61" s="37">
        <v>8.9</v>
      </c>
      <c r="S61" s="37" t="s">
        <v>487</v>
      </c>
      <c r="T61" s="37"/>
      <c r="U61" s="37"/>
    </row>
    <row r="62" spans="1:21" x14ac:dyDescent="0.35">
      <c r="A62" s="59" t="s">
        <v>482</v>
      </c>
      <c r="C62" s="182" t="str">
        <f>IF(C56=0,S57,IF(C56=1,S58,IF(C56=2,S59,IF(C56=3,S60,IF(C56=4,S61,IF(C56=5,S62,IF(C56=6,S63,"")))))))</f>
        <v>განხილულ უნდა იქნას ანტიკოაგულაცია</v>
      </c>
      <c r="D62" s="182"/>
      <c r="E62" s="182"/>
      <c r="F62" s="182"/>
      <c r="G62" s="182"/>
      <c r="H62" s="182"/>
      <c r="I62" s="182"/>
      <c r="P62" s="37">
        <v>5</v>
      </c>
      <c r="Q62" s="37" t="s">
        <v>301</v>
      </c>
      <c r="R62" s="37">
        <v>9.1</v>
      </c>
      <c r="S62" s="37" t="s">
        <v>487</v>
      </c>
      <c r="T62" s="37"/>
      <c r="U62" s="37"/>
    </row>
    <row r="63" spans="1:21" x14ac:dyDescent="0.35">
      <c r="C63" s="59"/>
      <c r="P63" s="37" t="s">
        <v>488</v>
      </c>
      <c r="Q63" s="37" t="s">
        <v>302</v>
      </c>
      <c r="R63" s="37" t="s">
        <v>489</v>
      </c>
      <c r="S63" s="37" t="s">
        <v>487</v>
      </c>
      <c r="T63" s="37"/>
      <c r="U63" s="37"/>
    </row>
    <row r="64" spans="1:21" x14ac:dyDescent="0.35">
      <c r="P64" s="37"/>
      <c r="Q64" s="37"/>
      <c r="R64" s="37"/>
      <c r="S64" s="37"/>
      <c r="T64" s="37"/>
      <c r="U64" s="37"/>
    </row>
    <row r="65" spans="16:21" x14ac:dyDescent="0.35">
      <c r="P65" s="37"/>
      <c r="Q65" s="37"/>
      <c r="R65" s="37"/>
      <c r="S65" s="37"/>
      <c r="T65" s="37"/>
      <c r="U65" s="37"/>
    </row>
    <row r="66" spans="16:21" x14ac:dyDescent="0.35">
      <c r="P66" s="37"/>
      <c r="Q66" s="37"/>
      <c r="R66" s="37"/>
      <c r="S66" s="37"/>
      <c r="T66" s="37"/>
      <c r="U66" s="37"/>
    </row>
    <row r="67" spans="16:21" x14ac:dyDescent="0.35">
      <c r="P67" s="37"/>
      <c r="Q67" s="37"/>
      <c r="R67" s="37"/>
      <c r="S67" s="37"/>
      <c r="T67" s="37"/>
      <c r="U67" s="37"/>
    </row>
    <row r="68" spans="16:21" x14ac:dyDescent="0.35">
      <c r="P68" s="37"/>
      <c r="Q68" s="37"/>
      <c r="R68" s="37"/>
      <c r="S68" s="37"/>
      <c r="T68" s="37"/>
      <c r="U68" s="37"/>
    </row>
    <row r="69" spans="16:21" x14ac:dyDescent="0.35">
      <c r="P69" s="37"/>
      <c r="Q69" s="37"/>
      <c r="R69" s="37"/>
      <c r="S69" s="37"/>
      <c r="T69" s="37"/>
      <c r="U69" s="37"/>
    </row>
    <row r="70" spans="16:21" x14ac:dyDescent="0.35">
      <c r="P70" s="37"/>
      <c r="Q70" s="37"/>
      <c r="R70" s="37"/>
      <c r="S70" s="37"/>
      <c r="T70" s="37"/>
      <c r="U70" s="37"/>
    </row>
    <row r="71" spans="16:21" x14ac:dyDescent="0.35">
      <c r="P71" s="37"/>
      <c r="Q71" s="37"/>
      <c r="R71" s="37"/>
      <c r="S71" s="37"/>
      <c r="T71" s="37"/>
      <c r="U71" s="37"/>
    </row>
  </sheetData>
  <sheetProtection algorithmName="SHA-512" hashValue="aQi4PMXYmXvkvJLIWgCLrscu53zuQpQcjr82EfEXMwwNY1tqVAwkWi8W388Ys7yTG8sI2ex/R0brVph8Yu7ooQ==" saltValue="Wl1XbkxnLgLbvUZz5iHxhw==" spinCount="100000" sheet="1" objects="1" scenarios="1"/>
  <mergeCells count="7">
    <mergeCell ref="C58:F58"/>
    <mergeCell ref="C62:I62"/>
    <mergeCell ref="A1:O2"/>
    <mergeCell ref="B14:M15"/>
    <mergeCell ref="A20:C20"/>
    <mergeCell ref="F22:N22"/>
    <mergeCell ref="A34:O35"/>
  </mergeCells>
  <hyperlinks>
    <hyperlink ref="A1:O2" location="Arrhythmia!A1" display="წინაგულთა ფიბრილაიიცს დროს ინსულტის რისკის CHA2DS2-VASc ქულა" xr:uid="{59B8E51B-7299-4D69-B1EF-0AE1AF2F27EB}"/>
    <hyperlink ref="A34:O35" location="Arrhythmia!A1" display="წინაგულთა ფიბრილაიიცს დროს ინსულტის რისკის CHA2DS2-VASc ქულა" xr:uid="{D7E7918E-5261-4E4E-8B90-8BC559C083A8}"/>
  </hyperlinks>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0</xdr:col>
                    <xdr:colOff>400050</xdr:colOff>
                    <xdr:row>5</xdr:row>
                    <xdr:rowOff>0</xdr:rowOff>
                  </from>
                  <to>
                    <xdr:col>1</xdr:col>
                    <xdr:colOff>342900</xdr:colOff>
                    <xdr:row>6</xdr:row>
                    <xdr:rowOff>31750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412750</xdr:colOff>
                    <xdr:row>5</xdr:row>
                    <xdr:rowOff>12700</xdr:rowOff>
                  </from>
                  <to>
                    <xdr:col>2</xdr:col>
                    <xdr:colOff>431800</xdr:colOff>
                    <xdr:row>6</xdr:row>
                    <xdr:rowOff>31750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0</xdr:col>
                    <xdr:colOff>400050</xdr:colOff>
                    <xdr:row>7</xdr:row>
                    <xdr:rowOff>0</xdr:rowOff>
                  </from>
                  <to>
                    <xdr:col>5</xdr:col>
                    <xdr:colOff>241300</xdr:colOff>
                    <xdr:row>8</xdr:row>
                    <xdr:rowOff>38100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0</xdr:col>
                    <xdr:colOff>400050</xdr:colOff>
                    <xdr:row>8</xdr:row>
                    <xdr:rowOff>171450</xdr:rowOff>
                  </from>
                  <to>
                    <xdr:col>3</xdr:col>
                    <xdr:colOff>355600</xdr:colOff>
                    <xdr:row>10</xdr:row>
                    <xdr:rowOff>19050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0</xdr:col>
                    <xdr:colOff>400050</xdr:colOff>
                    <xdr:row>11</xdr:row>
                    <xdr:rowOff>0</xdr:rowOff>
                  </from>
                  <to>
                    <xdr:col>7</xdr:col>
                    <xdr:colOff>527050</xdr:colOff>
                    <xdr:row>12</xdr:row>
                    <xdr:rowOff>38100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0</xdr:col>
                    <xdr:colOff>400050</xdr:colOff>
                    <xdr:row>13</xdr:row>
                    <xdr:rowOff>0</xdr:rowOff>
                  </from>
                  <to>
                    <xdr:col>12</xdr:col>
                    <xdr:colOff>412750</xdr:colOff>
                    <xdr:row>15</xdr:row>
                    <xdr:rowOff>19050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0</xdr:col>
                    <xdr:colOff>400050</xdr:colOff>
                    <xdr:row>16</xdr:row>
                    <xdr:rowOff>0</xdr:rowOff>
                  </from>
                  <to>
                    <xdr:col>4</xdr:col>
                    <xdr:colOff>114300</xdr:colOff>
                    <xdr:row>17</xdr:row>
                    <xdr:rowOff>19050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0</xdr:col>
                    <xdr:colOff>342900</xdr:colOff>
                    <xdr:row>35</xdr:row>
                    <xdr:rowOff>184150</xdr:rowOff>
                  </from>
                  <to>
                    <xdr:col>4</xdr:col>
                    <xdr:colOff>57150</xdr:colOff>
                    <xdr:row>37</xdr:row>
                    <xdr:rowOff>12700</xdr:rowOff>
                  </to>
                </anchor>
              </controlPr>
            </control>
          </mc:Choice>
        </mc:AlternateContent>
        <mc:AlternateContent xmlns:mc="http://schemas.openxmlformats.org/markup-compatibility/2006">
          <mc:Choice Requires="x14">
            <control shapeId="28683" r:id="rId12" name="Check Box 11">
              <controlPr defaultSize="0" autoFill="0" autoLine="0" autoPict="0">
                <anchor moveWithCells="1">
                  <from>
                    <xdr:col>0</xdr:col>
                    <xdr:colOff>355600</xdr:colOff>
                    <xdr:row>38</xdr:row>
                    <xdr:rowOff>12700</xdr:rowOff>
                  </from>
                  <to>
                    <xdr:col>11</xdr:col>
                    <xdr:colOff>152400</xdr:colOff>
                    <xdr:row>39</xdr:row>
                    <xdr:rowOff>38100</xdr:rowOff>
                  </to>
                </anchor>
              </controlPr>
            </control>
          </mc:Choice>
        </mc:AlternateContent>
        <mc:AlternateContent xmlns:mc="http://schemas.openxmlformats.org/markup-compatibility/2006">
          <mc:Choice Requires="x14">
            <control shapeId="28684" r:id="rId13" name="Check Box 12">
              <controlPr defaultSize="0" autoFill="0" autoLine="0" autoPict="0">
                <anchor moveWithCells="1">
                  <from>
                    <xdr:col>0</xdr:col>
                    <xdr:colOff>355600</xdr:colOff>
                    <xdr:row>40</xdr:row>
                    <xdr:rowOff>12700</xdr:rowOff>
                  </from>
                  <to>
                    <xdr:col>14</xdr:col>
                    <xdr:colOff>431800</xdr:colOff>
                    <xdr:row>41</xdr:row>
                    <xdr:rowOff>38100</xdr:rowOff>
                  </to>
                </anchor>
              </controlPr>
            </control>
          </mc:Choice>
        </mc:AlternateContent>
        <mc:AlternateContent xmlns:mc="http://schemas.openxmlformats.org/markup-compatibility/2006">
          <mc:Choice Requires="x14">
            <control shapeId="28685" r:id="rId14" name="Check Box 13">
              <controlPr defaultSize="0" autoFill="0" autoLine="0" autoPict="0">
                <anchor moveWithCells="1">
                  <from>
                    <xdr:col>0</xdr:col>
                    <xdr:colOff>342900</xdr:colOff>
                    <xdr:row>42</xdr:row>
                    <xdr:rowOff>12700</xdr:rowOff>
                  </from>
                  <to>
                    <xdr:col>4</xdr:col>
                    <xdr:colOff>57150</xdr:colOff>
                    <xdr:row>43</xdr:row>
                    <xdr:rowOff>31750</xdr:rowOff>
                  </to>
                </anchor>
              </controlPr>
            </control>
          </mc:Choice>
        </mc:AlternateContent>
        <mc:AlternateContent xmlns:mc="http://schemas.openxmlformats.org/markup-compatibility/2006">
          <mc:Choice Requires="x14">
            <control shapeId="28686" r:id="rId15" name="Check Box 14">
              <controlPr defaultSize="0" autoFill="0" autoLine="0" autoPict="0">
                <anchor moveWithCells="1">
                  <from>
                    <xdr:col>0</xdr:col>
                    <xdr:colOff>342900</xdr:colOff>
                    <xdr:row>44</xdr:row>
                    <xdr:rowOff>12700</xdr:rowOff>
                  </from>
                  <to>
                    <xdr:col>8</xdr:col>
                    <xdr:colOff>107950</xdr:colOff>
                    <xdr:row>45</xdr:row>
                    <xdr:rowOff>12700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0</xdr:col>
                    <xdr:colOff>342900</xdr:colOff>
                    <xdr:row>46</xdr:row>
                    <xdr:rowOff>12700</xdr:rowOff>
                  </from>
                  <to>
                    <xdr:col>10</xdr:col>
                    <xdr:colOff>0</xdr:colOff>
                    <xdr:row>47</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0</xdr:col>
                    <xdr:colOff>342900</xdr:colOff>
                    <xdr:row>48</xdr:row>
                    <xdr:rowOff>12700</xdr:rowOff>
                  </from>
                  <to>
                    <xdr:col>4</xdr:col>
                    <xdr:colOff>57150</xdr:colOff>
                    <xdr:row>49</xdr:row>
                    <xdr:rowOff>31750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0</xdr:col>
                    <xdr:colOff>342900</xdr:colOff>
                    <xdr:row>50</xdr:row>
                    <xdr:rowOff>12700</xdr:rowOff>
                  </from>
                  <to>
                    <xdr:col>8</xdr:col>
                    <xdr:colOff>107950</xdr:colOff>
                    <xdr:row>51</xdr:row>
                    <xdr:rowOff>12700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0</xdr:col>
                    <xdr:colOff>342900</xdr:colOff>
                    <xdr:row>52</xdr:row>
                    <xdr:rowOff>12700</xdr:rowOff>
                  </from>
                  <to>
                    <xdr:col>8</xdr:col>
                    <xdr:colOff>107950</xdr:colOff>
                    <xdr:row>53</xdr:row>
                    <xdr:rowOff>12700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7A2B8-C6CC-4869-B6C6-BC3AFF1B42E0}">
  <dimension ref="A1:S105"/>
  <sheetViews>
    <sheetView topLeftCell="A7" workbookViewId="0">
      <selection activeCell="S15" sqref="S15"/>
    </sheetView>
  </sheetViews>
  <sheetFormatPr defaultColWidth="9" defaultRowHeight="14.5" x14ac:dyDescent="0.35"/>
  <cols>
    <col min="1" max="14" width="9" style="2"/>
    <col min="15" max="19" width="9" style="5"/>
    <col min="20" max="16384" width="9" style="2"/>
  </cols>
  <sheetData>
    <row r="1" spans="1:18" ht="15" customHeight="1" x14ac:dyDescent="0.35">
      <c r="A1" s="186" t="s">
        <v>514</v>
      </c>
      <c r="B1" s="186"/>
      <c r="C1" s="186"/>
      <c r="D1" s="186"/>
      <c r="E1" s="186"/>
      <c r="F1" s="186"/>
      <c r="G1" s="186"/>
      <c r="H1" s="186"/>
      <c r="I1" s="186"/>
      <c r="J1" s="186"/>
      <c r="K1" s="186"/>
      <c r="L1" s="186"/>
      <c r="M1" s="186"/>
      <c r="N1" s="186"/>
      <c r="O1" s="77"/>
    </row>
    <row r="2" spans="1:18" ht="15" customHeight="1" x14ac:dyDescent="0.35">
      <c r="A2" s="186"/>
      <c r="B2" s="186"/>
      <c r="C2" s="186"/>
      <c r="D2" s="186"/>
      <c r="E2" s="186"/>
      <c r="F2" s="186"/>
      <c r="G2" s="186"/>
      <c r="H2" s="186"/>
      <c r="I2" s="186"/>
      <c r="J2" s="186"/>
      <c r="K2" s="186"/>
      <c r="L2" s="186"/>
      <c r="M2" s="186"/>
      <c r="N2" s="186"/>
      <c r="O2" s="77"/>
    </row>
    <row r="4" spans="1:18" x14ac:dyDescent="0.35">
      <c r="A4" s="55" t="s">
        <v>201</v>
      </c>
      <c r="B4" s="73" t="e">
        <f>D27</f>
        <v>#DIV/0!</v>
      </c>
      <c r="C4" s="2" t="s">
        <v>490</v>
      </c>
      <c r="E4" s="118" t="s">
        <v>492</v>
      </c>
      <c r="F4" s="118"/>
      <c r="G4" s="34"/>
      <c r="H4" s="2" t="s">
        <v>493</v>
      </c>
      <c r="J4" s="69"/>
      <c r="K4" s="2" t="s">
        <v>494</v>
      </c>
      <c r="L4" s="55" t="s">
        <v>495</v>
      </c>
      <c r="M4" s="70">
        <f>J4*10</f>
        <v>0</v>
      </c>
      <c r="N4" s="2" t="s">
        <v>493</v>
      </c>
      <c r="O4" s="5" t="s">
        <v>496</v>
      </c>
      <c r="P4" s="5" t="s">
        <v>502</v>
      </c>
      <c r="Q4" s="5" t="s">
        <v>508</v>
      </c>
      <c r="R4" s="5" t="s">
        <v>509</v>
      </c>
    </row>
    <row r="5" spans="1:18" x14ac:dyDescent="0.35">
      <c r="E5" s="67" t="s">
        <v>491</v>
      </c>
      <c r="J5" s="188" t="s">
        <v>524</v>
      </c>
      <c r="K5" s="188"/>
      <c r="L5" s="116" t="s">
        <v>517</v>
      </c>
      <c r="M5" s="116"/>
      <c r="O5" s="5" t="s">
        <v>497</v>
      </c>
      <c r="P5" s="5" t="s">
        <v>503</v>
      </c>
      <c r="Q5" s="5" t="s">
        <v>510</v>
      </c>
      <c r="R5" s="78" t="s">
        <v>513</v>
      </c>
    </row>
    <row r="6" spans="1:18" x14ac:dyDescent="0.35">
      <c r="O6" s="5" t="s">
        <v>498</v>
      </c>
      <c r="P6" s="5" t="s">
        <v>504</v>
      </c>
      <c r="Q6" s="5" t="s">
        <v>511</v>
      </c>
      <c r="R6" s="5" t="s">
        <v>512</v>
      </c>
    </row>
    <row r="7" spans="1:18" x14ac:dyDescent="0.35">
      <c r="A7" s="36" t="s">
        <v>516</v>
      </c>
      <c r="B7" s="68" t="e">
        <f>IF(B4&gt;89,"G1",IF(AND(B4&gt;59,B4&lt;90),"G2",IF(AND(B4&gt;44,B4&lt;60),"G3a",IF(AND(B4&gt;29,B4&lt;45),"G3b",IF(AND(B4&gt;14,B4&lt;30),"G4",IF(B4&lt;15,"G5",""))))))</f>
        <v>#DIV/0!</v>
      </c>
      <c r="F7" s="66" t="s">
        <v>516</v>
      </c>
      <c r="G7" s="68" t="str">
        <f>IF(AND(G4&gt;0,G4&lt;30),"A1",IF(AND(G4&gt;29,G4&lt;301),"A2",IF(G4&gt;300,"A3","")))</f>
        <v/>
      </c>
      <c r="O7" s="5" t="s">
        <v>499</v>
      </c>
      <c r="P7" s="5" t="s">
        <v>505</v>
      </c>
    </row>
    <row r="8" spans="1:18" x14ac:dyDescent="0.35">
      <c r="O8" s="5" t="s">
        <v>500</v>
      </c>
      <c r="P8" s="5" t="s">
        <v>506</v>
      </c>
    </row>
    <row r="9" spans="1:18" x14ac:dyDescent="0.35">
      <c r="O9" s="5" t="s">
        <v>501</v>
      </c>
      <c r="P9" s="5" t="s">
        <v>507</v>
      </c>
    </row>
    <row r="11" spans="1:18" x14ac:dyDescent="0.35">
      <c r="A11" s="118" t="s">
        <v>515</v>
      </c>
      <c r="B11" s="118"/>
      <c r="C11" s="118"/>
      <c r="D11" s="118"/>
      <c r="E11" s="118"/>
      <c r="F11" s="118"/>
      <c r="G11" s="118"/>
      <c r="H11" s="118"/>
      <c r="I11" s="187" t="e">
        <f>IF(AND(G7="A1",B7="G1"),O11,IF(AND(G7="A1",B7="G2"),O11,IF(AND(G7="A1",B7="G3a"),O12,IF(AND(G7="A1",B7="G3b"),O13,IF(AND(G7="A1",B7="G4"),O14,IF(AND(G7="A1",B7="G5"),O14,IF(AND(G7="A2",B7="G1"),O12,IF(AND(G7="A2",B7="G2"),O12,IF(AND(G7="A2",B7="G3a"),O13,IF(AND(G7="A2",B7="G3b"),O14,IF(AND(G7="A2",B7="G4"),O14,IF(AND(G7="A2",B7="G5"),O14,IF(AND(G7="A3",B7="G1"),O13,IF(AND(G7="A3",B7="G2"),O13,IF(AND(G7="A3",B7="G3a"),O14,IF(AND(G7="A3",B7="G3b"),O14,IF(AND(G7="A3",B7="G4"),O14,IF(AND(G7="A3",B7="G5"),O14,""))))))))))))))))))</f>
        <v>#DIV/0!</v>
      </c>
      <c r="J11" s="187"/>
      <c r="K11" s="187"/>
      <c r="L11" s="187"/>
      <c r="M11" s="187"/>
      <c r="O11" s="5" t="s">
        <v>276</v>
      </c>
    </row>
    <row r="12" spans="1:18" x14ac:dyDescent="0.35">
      <c r="O12" s="5" t="s">
        <v>518</v>
      </c>
    </row>
    <row r="13" spans="1:18" x14ac:dyDescent="0.35">
      <c r="O13" s="5" t="s">
        <v>519</v>
      </c>
    </row>
    <row r="14" spans="1:18" x14ac:dyDescent="0.35">
      <c r="O14" s="5" t="s">
        <v>520</v>
      </c>
    </row>
    <row r="15" spans="1:18" x14ac:dyDescent="0.35">
      <c r="A15" s="186" t="s">
        <v>545</v>
      </c>
      <c r="B15" s="186"/>
      <c r="C15" s="186"/>
      <c r="D15" s="186"/>
      <c r="E15" s="186"/>
      <c r="F15" s="186"/>
      <c r="G15" s="186"/>
      <c r="H15" s="186"/>
      <c r="I15" s="186"/>
      <c r="J15" s="186"/>
      <c r="K15" s="186"/>
      <c r="L15" s="186"/>
      <c r="M15" s="186"/>
      <c r="N15" s="186"/>
    </row>
    <row r="16" spans="1:18" x14ac:dyDescent="0.35">
      <c r="A16" s="186"/>
      <c r="B16" s="186"/>
      <c r="C16" s="186"/>
      <c r="D16" s="186"/>
      <c r="E16" s="186"/>
      <c r="F16" s="186"/>
      <c r="G16" s="186"/>
      <c r="H16" s="186"/>
      <c r="I16" s="186"/>
      <c r="J16" s="186"/>
      <c r="K16" s="186"/>
      <c r="L16" s="186"/>
      <c r="M16" s="186"/>
      <c r="N16" s="186"/>
    </row>
    <row r="18" spans="1:15" x14ac:dyDescent="0.35">
      <c r="A18" s="55" t="s">
        <v>447</v>
      </c>
      <c r="B18" s="34"/>
      <c r="C18" s="2" t="s">
        <v>187</v>
      </c>
      <c r="E18" s="2" t="s">
        <v>521</v>
      </c>
      <c r="F18" s="2" t="s">
        <v>453</v>
      </c>
      <c r="H18" s="118" t="s">
        <v>522</v>
      </c>
      <c r="I18" s="118"/>
      <c r="J18" s="34"/>
      <c r="K18" s="2" t="s">
        <v>220</v>
      </c>
      <c r="O18" s="13">
        <v>1</v>
      </c>
    </row>
    <row r="20" spans="1:15" x14ac:dyDescent="0.35">
      <c r="J20" s="34"/>
      <c r="K20" s="2" t="s">
        <v>523</v>
      </c>
      <c r="L20" s="55" t="s">
        <v>495</v>
      </c>
      <c r="M20" s="71">
        <f>J20/88.57</f>
        <v>0</v>
      </c>
      <c r="N20" s="2" t="s">
        <v>220</v>
      </c>
    </row>
    <row r="21" spans="1:15" x14ac:dyDescent="0.35">
      <c r="J21" s="188" t="s">
        <v>524</v>
      </c>
      <c r="K21" s="188"/>
    </row>
    <row r="22" spans="1:15" x14ac:dyDescent="0.35">
      <c r="A22" s="118" t="s">
        <v>556</v>
      </c>
      <c r="B22" s="118"/>
      <c r="C22" s="72" t="e">
        <f>IF(O18=1,O25,IF(O18=2,O26,""))</f>
        <v>#DIV/0!</v>
      </c>
      <c r="D22" s="2" t="s">
        <v>490</v>
      </c>
    </row>
    <row r="24" spans="1:15" x14ac:dyDescent="0.35">
      <c r="A24" s="41" t="s">
        <v>526</v>
      </c>
      <c r="B24" s="70" t="e">
        <f>B7</f>
        <v>#DIV/0!</v>
      </c>
      <c r="C24" s="93" t="e">
        <f>IF(B24="G1",O27,IF(B24="G2",O28,IF(B24="G3a",O29,IF(B24="G3b",O30,IF(B24="G4",O31,IF(B24="G5",O32,""))))))</f>
        <v>#DIV/0!</v>
      </c>
      <c r="D24" s="93"/>
      <c r="E24" s="93"/>
      <c r="F24" s="93"/>
      <c r="G24" s="93"/>
      <c r="H24" s="93"/>
      <c r="I24" s="93"/>
      <c r="J24" s="93"/>
      <c r="O24" s="5" t="s">
        <v>525</v>
      </c>
    </row>
    <row r="25" spans="1:15" x14ac:dyDescent="0.35">
      <c r="O25" s="5" t="e">
        <f>175*(J18^(-1.154))*(B18^(-0.203))</f>
        <v>#DIV/0!</v>
      </c>
    </row>
    <row r="26" spans="1:15" ht="15" thickBot="1" x14ac:dyDescent="0.4">
      <c r="O26" s="5" t="e">
        <f>175*(J18^(-1.154))*(B18^(-0.203))*0.742</f>
        <v>#DIV/0!</v>
      </c>
    </row>
    <row r="27" spans="1:15" ht="15" thickBot="1" x14ac:dyDescent="0.4">
      <c r="A27" s="189" t="s">
        <v>544</v>
      </c>
      <c r="B27" s="190"/>
      <c r="C27" s="190"/>
      <c r="D27" s="74" t="e">
        <f>IF(AND(J18&lt;0.71,O18=2),O47,IF(AND(J18&gt;0.7,O18=2),O48,IF(AND(J18&lt;0.91,O18=1),O51,IF(AND(J18&gt;0.9,O18=1),O52,""))))</f>
        <v>#DIV/0!</v>
      </c>
      <c r="E27" s="75" t="s">
        <v>490</v>
      </c>
      <c r="F27" s="76"/>
      <c r="O27" s="5" t="s">
        <v>527</v>
      </c>
    </row>
    <row r="28" spans="1:15" x14ac:dyDescent="0.35">
      <c r="O28" s="5" t="s">
        <v>528</v>
      </c>
    </row>
    <row r="29" spans="1:15" x14ac:dyDescent="0.35">
      <c r="O29" s="5" t="s">
        <v>529</v>
      </c>
    </row>
    <row r="30" spans="1:15" x14ac:dyDescent="0.35">
      <c r="O30" s="5" t="s">
        <v>530</v>
      </c>
    </row>
    <row r="31" spans="1:15" x14ac:dyDescent="0.35">
      <c r="O31" s="5" t="s">
        <v>531</v>
      </c>
    </row>
    <row r="32" spans="1:15" x14ac:dyDescent="0.35">
      <c r="O32" s="5" t="s">
        <v>532</v>
      </c>
    </row>
    <row r="35" spans="15:17" x14ac:dyDescent="0.35">
      <c r="O35" s="5" t="s">
        <v>546</v>
      </c>
    </row>
    <row r="38" spans="15:17" x14ac:dyDescent="0.35">
      <c r="O38" s="5" t="s">
        <v>453</v>
      </c>
    </row>
    <row r="39" spans="15:17" x14ac:dyDescent="0.35">
      <c r="O39" s="5" t="s">
        <v>547</v>
      </c>
      <c r="P39" s="5" t="s">
        <v>548</v>
      </c>
      <c r="Q39" s="5" t="s">
        <v>549</v>
      </c>
    </row>
    <row r="40" spans="15:17" x14ac:dyDescent="0.35">
      <c r="O40" s="5" t="s">
        <v>550</v>
      </c>
      <c r="P40" s="5" t="s">
        <v>548</v>
      </c>
      <c r="Q40" s="5" t="s">
        <v>551</v>
      </c>
    </row>
    <row r="42" spans="15:17" x14ac:dyDescent="0.35">
      <c r="O42" s="5" t="s">
        <v>452</v>
      </c>
    </row>
    <row r="43" spans="15:17" x14ac:dyDescent="0.35">
      <c r="O43" s="5" t="s">
        <v>552</v>
      </c>
      <c r="P43" s="5" t="s">
        <v>553</v>
      </c>
      <c r="Q43" s="5" t="s">
        <v>555</v>
      </c>
    </row>
    <row r="44" spans="15:17" x14ac:dyDescent="0.35">
      <c r="O44" s="5" t="s">
        <v>554</v>
      </c>
      <c r="P44" s="5" t="s">
        <v>553</v>
      </c>
      <c r="Q44" s="5" t="s">
        <v>551</v>
      </c>
    </row>
    <row r="46" spans="15:17" x14ac:dyDescent="0.35">
      <c r="O46" s="5" t="s">
        <v>453</v>
      </c>
    </row>
    <row r="47" spans="15:17" x14ac:dyDescent="0.35">
      <c r="O47" s="5" t="e">
        <f>142*(J18/0.7)^(-0.241)*0.9938^B18*1.012</f>
        <v>#DIV/0!</v>
      </c>
    </row>
    <row r="48" spans="15:17" x14ac:dyDescent="0.35">
      <c r="O48" s="5" t="e">
        <f>142*(J18/0.7)^(-1.2)*0.9938^B18*1.012</f>
        <v>#DIV/0!</v>
      </c>
    </row>
    <row r="50" spans="15:15" x14ac:dyDescent="0.35">
      <c r="O50" s="5" t="s">
        <v>452</v>
      </c>
    </row>
    <row r="51" spans="15:15" x14ac:dyDescent="0.35">
      <c r="O51" s="5" t="e">
        <f>142*(J18/0.9)^(-0.302)*0.9938^B18</f>
        <v>#DIV/0!</v>
      </c>
    </row>
    <row r="52" spans="15:15" x14ac:dyDescent="0.35">
      <c r="O52" s="5" t="e">
        <f>142*(J18/0.9)^(-1.2)*0.9938^B18</f>
        <v>#DIV/0!</v>
      </c>
    </row>
    <row r="74" spans="1:14" x14ac:dyDescent="0.35">
      <c r="A74" s="63" t="s">
        <v>533</v>
      </c>
      <c r="B74" s="64"/>
      <c r="C74" s="64"/>
      <c r="D74" s="64"/>
      <c r="E74" s="64"/>
      <c r="F74" s="64"/>
      <c r="G74" s="64"/>
      <c r="H74" s="64"/>
      <c r="I74" s="64"/>
      <c r="J74" s="64"/>
      <c r="K74" s="64"/>
      <c r="L74" s="64"/>
      <c r="M74" s="64"/>
      <c r="N74" s="65"/>
    </row>
    <row r="75" spans="1:14" x14ac:dyDescent="0.35">
      <c r="A75" s="106" t="s">
        <v>534</v>
      </c>
      <c r="B75" s="107"/>
      <c r="C75" s="107"/>
      <c r="D75" s="107"/>
      <c r="E75" s="107"/>
      <c r="F75" s="107"/>
      <c r="G75" s="107"/>
      <c r="H75" s="107"/>
      <c r="I75" s="107"/>
      <c r="J75" s="107"/>
      <c r="K75" s="107"/>
      <c r="L75" s="108"/>
      <c r="M75" s="102" t="s">
        <v>66</v>
      </c>
      <c r="N75" s="103" t="s">
        <v>207</v>
      </c>
    </row>
    <row r="76" spans="1:14" x14ac:dyDescent="0.35">
      <c r="A76" s="109"/>
      <c r="B76" s="110"/>
      <c r="C76" s="110"/>
      <c r="D76" s="110"/>
      <c r="E76" s="110"/>
      <c r="F76" s="110"/>
      <c r="G76" s="110"/>
      <c r="H76" s="110"/>
      <c r="I76" s="110"/>
      <c r="J76" s="110"/>
      <c r="K76" s="110"/>
      <c r="L76" s="111"/>
      <c r="M76" s="102"/>
      <c r="N76" s="103"/>
    </row>
    <row r="77" spans="1:14" x14ac:dyDescent="0.35">
      <c r="A77" s="112"/>
      <c r="B77" s="113"/>
      <c r="C77" s="113"/>
      <c r="D77" s="113"/>
      <c r="E77" s="113"/>
      <c r="F77" s="113"/>
      <c r="G77" s="113"/>
      <c r="H77" s="113"/>
      <c r="I77" s="113"/>
      <c r="J77" s="113"/>
      <c r="K77" s="113"/>
      <c r="L77" s="114"/>
      <c r="M77" s="102"/>
      <c r="N77" s="103"/>
    </row>
    <row r="78" spans="1:14" x14ac:dyDescent="0.35">
      <c r="A78" s="106" t="s">
        <v>535</v>
      </c>
      <c r="B78" s="107"/>
      <c r="C78" s="107"/>
      <c r="D78" s="107"/>
      <c r="E78" s="107"/>
      <c r="F78" s="107"/>
      <c r="G78" s="107"/>
      <c r="H78" s="107"/>
      <c r="I78" s="107"/>
      <c r="J78" s="107"/>
      <c r="K78" s="107"/>
      <c r="L78" s="108"/>
      <c r="M78" s="102" t="s">
        <v>66</v>
      </c>
      <c r="N78" s="103" t="s">
        <v>207</v>
      </c>
    </row>
    <row r="79" spans="1:14" x14ac:dyDescent="0.35">
      <c r="A79" s="109"/>
      <c r="B79" s="110"/>
      <c r="C79" s="110"/>
      <c r="D79" s="110"/>
      <c r="E79" s="110"/>
      <c r="F79" s="110"/>
      <c r="G79" s="110"/>
      <c r="H79" s="110"/>
      <c r="I79" s="110"/>
      <c r="J79" s="110"/>
      <c r="K79" s="110"/>
      <c r="L79" s="111"/>
      <c r="M79" s="102"/>
      <c r="N79" s="103"/>
    </row>
    <row r="80" spans="1:14" x14ac:dyDescent="0.35">
      <c r="A80" s="112"/>
      <c r="B80" s="113"/>
      <c r="C80" s="113"/>
      <c r="D80" s="113"/>
      <c r="E80" s="113"/>
      <c r="F80" s="113"/>
      <c r="G80" s="113"/>
      <c r="H80" s="113"/>
      <c r="I80" s="113"/>
      <c r="J80" s="113"/>
      <c r="K80" s="113"/>
      <c r="L80" s="114"/>
      <c r="M80" s="102"/>
      <c r="N80" s="103"/>
    </row>
    <row r="81" spans="1:14" x14ac:dyDescent="0.35">
      <c r="A81" s="106" t="s">
        <v>536</v>
      </c>
      <c r="B81" s="107"/>
      <c r="C81" s="107"/>
      <c r="D81" s="107"/>
      <c r="E81" s="107"/>
      <c r="F81" s="107"/>
      <c r="G81" s="107"/>
      <c r="H81" s="107"/>
      <c r="I81" s="107"/>
      <c r="J81" s="107"/>
      <c r="K81" s="107"/>
      <c r="L81" s="108"/>
      <c r="M81" s="102" t="s">
        <v>66</v>
      </c>
      <c r="N81" s="103" t="s">
        <v>207</v>
      </c>
    </row>
    <row r="82" spans="1:14" x14ac:dyDescent="0.35">
      <c r="A82" s="109"/>
      <c r="B82" s="110"/>
      <c r="C82" s="110"/>
      <c r="D82" s="110"/>
      <c r="E82" s="110"/>
      <c r="F82" s="110"/>
      <c r="G82" s="110"/>
      <c r="H82" s="110"/>
      <c r="I82" s="110"/>
      <c r="J82" s="110"/>
      <c r="K82" s="110"/>
      <c r="L82" s="111"/>
      <c r="M82" s="102"/>
      <c r="N82" s="103"/>
    </row>
    <row r="83" spans="1:14" x14ac:dyDescent="0.35">
      <c r="A83" s="112"/>
      <c r="B83" s="113"/>
      <c r="C83" s="113"/>
      <c r="D83" s="113"/>
      <c r="E83" s="113"/>
      <c r="F83" s="113"/>
      <c r="G83" s="113"/>
      <c r="H83" s="113"/>
      <c r="I83" s="113"/>
      <c r="J83" s="113"/>
      <c r="K83" s="113"/>
      <c r="L83" s="114"/>
      <c r="M83" s="102"/>
      <c r="N83" s="103"/>
    </row>
    <row r="84" spans="1:14" x14ac:dyDescent="0.35">
      <c r="A84" s="106" t="s">
        <v>537</v>
      </c>
      <c r="B84" s="107"/>
      <c r="C84" s="107"/>
      <c r="D84" s="107"/>
      <c r="E84" s="107"/>
      <c r="F84" s="107"/>
      <c r="G84" s="107"/>
      <c r="H84" s="107"/>
      <c r="I84" s="107"/>
      <c r="J84" s="107"/>
      <c r="K84" s="107"/>
      <c r="L84" s="108"/>
      <c r="M84" s="102" t="s">
        <v>66</v>
      </c>
      <c r="N84" s="103" t="s">
        <v>207</v>
      </c>
    </row>
    <row r="85" spans="1:14" x14ac:dyDescent="0.35">
      <c r="A85" s="109"/>
      <c r="B85" s="110"/>
      <c r="C85" s="110"/>
      <c r="D85" s="110"/>
      <c r="E85" s="110"/>
      <c r="F85" s="110"/>
      <c r="G85" s="110"/>
      <c r="H85" s="110"/>
      <c r="I85" s="110"/>
      <c r="J85" s="110"/>
      <c r="K85" s="110"/>
      <c r="L85" s="111"/>
      <c r="M85" s="102"/>
      <c r="N85" s="103"/>
    </row>
    <row r="86" spans="1:14" x14ac:dyDescent="0.35">
      <c r="A86" s="112"/>
      <c r="B86" s="113"/>
      <c r="C86" s="113"/>
      <c r="D86" s="113"/>
      <c r="E86" s="113"/>
      <c r="F86" s="113"/>
      <c r="G86" s="113"/>
      <c r="H86" s="113"/>
      <c r="I86" s="113"/>
      <c r="J86" s="113"/>
      <c r="K86" s="113"/>
      <c r="L86" s="114"/>
      <c r="M86" s="102"/>
      <c r="N86" s="103"/>
    </row>
    <row r="87" spans="1:14" x14ac:dyDescent="0.35">
      <c r="A87" s="106" t="s">
        <v>538</v>
      </c>
      <c r="B87" s="107"/>
      <c r="C87" s="107"/>
      <c r="D87" s="107"/>
      <c r="E87" s="107"/>
      <c r="F87" s="107"/>
      <c r="G87" s="107"/>
      <c r="H87" s="107"/>
      <c r="I87" s="107"/>
      <c r="J87" s="107"/>
      <c r="K87" s="107"/>
      <c r="L87" s="108"/>
      <c r="M87" s="102" t="s">
        <v>66</v>
      </c>
      <c r="N87" s="103" t="s">
        <v>207</v>
      </c>
    </row>
    <row r="88" spans="1:14" x14ac:dyDescent="0.35">
      <c r="A88" s="109"/>
      <c r="B88" s="110"/>
      <c r="C88" s="110"/>
      <c r="D88" s="110"/>
      <c r="E88" s="110"/>
      <c r="F88" s="110"/>
      <c r="G88" s="110"/>
      <c r="H88" s="110"/>
      <c r="I88" s="110"/>
      <c r="J88" s="110"/>
      <c r="K88" s="110"/>
      <c r="L88" s="111"/>
      <c r="M88" s="102"/>
      <c r="N88" s="103"/>
    </row>
    <row r="89" spans="1:14" x14ac:dyDescent="0.35">
      <c r="A89" s="112"/>
      <c r="B89" s="113"/>
      <c r="C89" s="113"/>
      <c r="D89" s="113"/>
      <c r="E89" s="113"/>
      <c r="F89" s="113"/>
      <c r="G89" s="113"/>
      <c r="H89" s="113"/>
      <c r="I89" s="113"/>
      <c r="J89" s="113"/>
      <c r="K89" s="113"/>
      <c r="L89" s="114"/>
      <c r="M89" s="102"/>
      <c r="N89" s="103"/>
    </row>
    <row r="90" spans="1:14" ht="14.5" customHeight="1" x14ac:dyDescent="0.35">
      <c r="A90" s="99" t="s">
        <v>539</v>
      </c>
      <c r="B90" s="99"/>
      <c r="C90" s="99"/>
      <c r="D90" s="99"/>
      <c r="E90" s="99"/>
      <c r="F90" s="99"/>
      <c r="G90" s="99"/>
      <c r="H90" s="99"/>
      <c r="I90" s="99"/>
      <c r="J90" s="99"/>
      <c r="K90" s="99"/>
      <c r="L90" s="99"/>
      <c r="M90" s="102" t="s">
        <v>66</v>
      </c>
      <c r="N90" s="103" t="s">
        <v>207</v>
      </c>
    </row>
    <row r="91" spans="1:14" x14ac:dyDescent="0.35">
      <c r="A91" s="99"/>
      <c r="B91" s="99"/>
      <c r="C91" s="99"/>
      <c r="D91" s="99"/>
      <c r="E91" s="99"/>
      <c r="F91" s="99"/>
      <c r="G91" s="99"/>
      <c r="H91" s="99"/>
      <c r="I91" s="99"/>
      <c r="J91" s="99"/>
      <c r="K91" s="99"/>
      <c r="L91" s="99"/>
      <c r="M91" s="102"/>
      <c r="N91" s="103"/>
    </row>
    <row r="92" spans="1:14" x14ac:dyDescent="0.35">
      <c r="A92" s="99"/>
      <c r="B92" s="99"/>
      <c r="C92" s="99"/>
      <c r="D92" s="99"/>
      <c r="E92" s="99"/>
      <c r="F92" s="99"/>
      <c r="G92" s="99"/>
      <c r="H92" s="99"/>
      <c r="I92" s="99"/>
      <c r="J92" s="99"/>
      <c r="K92" s="99"/>
      <c r="L92" s="99"/>
      <c r="M92" s="102"/>
      <c r="N92" s="103"/>
    </row>
    <row r="93" spans="1:14" x14ac:dyDescent="0.35">
      <c r="A93" s="99"/>
      <c r="B93" s="99"/>
      <c r="C93" s="99"/>
      <c r="D93" s="99"/>
      <c r="E93" s="99"/>
      <c r="F93" s="99"/>
      <c r="G93" s="99"/>
      <c r="H93" s="99"/>
      <c r="I93" s="99"/>
      <c r="J93" s="99"/>
      <c r="K93" s="99"/>
      <c r="L93" s="99"/>
      <c r="M93" s="102"/>
      <c r="N93" s="103"/>
    </row>
    <row r="94" spans="1:14" x14ac:dyDescent="0.35">
      <c r="A94" s="106" t="s">
        <v>540</v>
      </c>
      <c r="B94" s="107"/>
      <c r="C94" s="107"/>
      <c r="D94" s="107"/>
      <c r="E94" s="107"/>
      <c r="F94" s="107"/>
      <c r="G94" s="107"/>
      <c r="H94" s="107"/>
      <c r="I94" s="107"/>
      <c r="J94" s="107"/>
      <c r="K94" s="107"/>
      <c r="L94" s="108"/>
      <c r="M94" s="102" t="s">
        <v>66</v>
      </c>
      <c r="N94" s="103" t="s">
        <v>207</v>
      </c>
    </row>
    <row r="95" spans="1:14" x14ac:dyDescent="0.35">
      <c r="A95" s="109"/>
      <c r="B95" s="110"/>
      <c r="C95" s="110"/>
      <c r="D95" s="110"/>
      <c r="E95" s="110"/>
      <c r="F95" s="110"/>
      <c r="G95" s="110"/>
      <c r="H95" s="110"/>
      <c r="I95" s="110"/>
      <c r="J95" s="110"/>
      <c r="K95" s="110"/>
      <c r="L95" s="111"/>
      <c r="M95" s="102"/>
      <c r="N95" s="103"/>
    </row>
    <row r="96" spans="1:14" x14ac:dyDescent="0.35">
      <c r="A96" s="112"/>
      <c r="B96" s="113"/>
      <c r="C96" s="113"/>
      <c r="D96" s="113"/>
      <c r="E96" s="113"/>
      <c r="F96" s="113"/>
      <c r="G96" s="113"/>
      <c r="H96" s="113"/>
      <c r="I96" s="113"/>
      <c r="J96" s="113"/>
      <c r="K96" s="113"/>
      <c r="L96" s="114"/>
      <c r="M96" s="102"/>
      <c r="N96" s="103"/>
    </row>
    <row r="97" spans="1:14" x14ac:dyDescent="0.35">
      <c r="A97" s="106" t="s">
        <v>541</v>
      </c>
      <c r="B97" s="107"/>
      <c r="C97" s="107"/>
      <c r="D97" s="107"/>
      <c r="E97" s="107"/>
      <c r="F97" s="107"/>
      <c r="G97" s="107"/>
      <c r="H97" s="107"/>
      <c r="I97" s="107"/>
      <c r="J97" s="107"/>
      <c r="K97" s="107"/>
      <c r="L97" s="108"/>
      <c r="M97" s="102" t="s">
        <v>66</v>
      </c>
      <c r="N97" s="103" t="s">
        <v>207</v>
      </c>
    </row>
    <row r="98" spans="1:14" x14ac:dyDescent="0.35">
      <c r="A98" s="109"/>
      <c r="B98" s="110"/>
      <c r="C98" s="110"/>
      <c r="D98" s="110"/>
      <c r="E98" s="110"/>
      <c r="F98" s="110"/>
      <c r="G98" s="110"/>
      <c r="H98" s="110"/>
      <c r="I98" s="110"/>
      <c r="J98" s="110"/>
      <c r="K98" s="110"/>
      <c r="L98" s="111"/>
      <c r="M98" s="102"/>
      <c r="N98" s="103"/>
    </row>
    <row r="99" spans="1:14" x14ac:dyDescent="0.35">
      <c r="A99" s="112"/>
      <c r="B99" s="113"/>
      <c r="C99" s="113"/>
      <c r="D99" s="113"/>
      <c r="E99" s="113"/>
      <c r="F99" s="113"/>
      <c r="G99" s="113"/>
      <c r="H99" s="113"/>
      <c r="I99" s="113"/>
      <c r="J99" s="113"/>
      <c r="K99" s="113"/>
      <c r="L99" s="114"/>
      <c r="M99" s="102"/>
      <c r="N99" s="103"/>
    </row>
    <row r="100" spans="1:14" x14ac:dyDescent="0.35">
      <c r="A100" s="106" t="s">
        <v>542</v>
      </c>
      <c r="B100" s="107"/>
      <c r="C100" s="107"/>
      <c r="D100" s="107"/>
      <c r="E100" s="107"/>
      <c r="F100" s="107"/>
      <c r="G100" s="107"/>
      <c r="H100" s="107"/>
      <c r="I100" s="107"/>
      <c r="J100" s="107"/>
      <c r="K100" s="107"/>
      <c r="L100" s="108"/>
      <c r="M100" s="102" t="s">
        <v>66</v>
      </c>
      <c r="N100" s="101" t="s">
        <v>67</v>
      </c>
    </row>
    <row r="101" spans="1:14" x14ac:dyDescent="0.35">
      <c r="A101" s="109"/>
      <c r="B101" s="110"/>
      <c r="C101" s="110"/>
      <c r="D101" s="110"/>
      <c r="E101" s="110"/>
      <c r="F101" s="110"/>
      <c r="G101" s="110"/>
      <c r="H101" s="110"/>
      <c r="I101" s="110"/>
      <c r="J101" s="110"/>
      <c r="K101" s="110"/>
      <c r="L101" s="111"/>
      <c r="M101" s="102"/>
      <c r="N101" s="101"/>
    </row>
    <row r="102" spans="1:14" x14ac:dyDescent="0.35">
      <c r="A102" s="112"/>
      <c r="B102" s="113"/>
      <c r="C102" s="113"/>
      <c r="D102" s="113"/>
      <c r="E102" s="113"/>
      <c r="F102" s="113"/>
      <c r="G102" s="113"/>
      <c r="H102" s="113"/>
      <c r="I102" s="113"/>
      <c r="J102" s="113"/>
      <c r="K102" s="113"/>
      <c r="L102" s="114"/>
      <c r="M102" s="102"/>
      <c r="N102" s="101"/>
    </row>
    <row r="103" spans="1:14" x14ac:dyDescent="0.35">
      <c r="A103" s="106" t="s">
        <v>543</v>
      </c>
      <c r="B103" s="107"/>
      <c r="C103" s="107"/>
      <c r="D103" s="107"/>
      <c r="E103" s="107"/>
      <c r="F103" s="107"/>
      <c r="G103" s="107"/>
      <c r="H103" s="107"/>
      <c r="I103" s="107"/>
      <c r="J103" s="107"/>
      <c r="K103" s="107"/>
      <c r="L103" s="108"/>
      <c r="M103" s="115" t="s">
        <v>214</v>
      </c>
      <c r="N103" s="103" t="s">
        <v>207</v>
      </c>
    </row>
    <row r="104" spans="1:14" x14ac:dyDescent="0.35">
      <c r="A104" s="109"/>
      <c r="B104" s="110"/>
      <c r="C104" s="110"/>
      <c r="D104" s="110"/>
      <c r="E104" s="110"/>
      <c r="F104" s="110"/>
      <c r="G104" s="110"/>
      <c r="H104" s="110"/>
      <c r="I104" s="110"/>
      <c r="J104" s="110"/>
      <c r="K104" s="110"/>
      <c r="L104" s="111"/>
      <c r="M104" s="115"/>
      <c r="N104" s="103"/>
    </row>
    <row r="105" spans="1:14" x14ac:dyDescent="0.35">
      <c r="A105" s="112"/>
      <c r="B105" s="113"/>
      <c r="C105" s="113"/>
      <c r="D105" s="113"/>
      <c r="E105" s="113"/>
      <c r="F105" s="113"/>
      <c r="G105" s="113"/>
      <c r="H105" s="113"/>
      <c r="I105" s="113"/>
      <c r="J105" s="113"/>
      <c r="K105" s="113"/>
      <c r="L105" s="114"/>
      <c r="M105" s="115"/>
      <c r="N105" s="103"/>
    </row>
  </sheetData>
  <sheetProtection algorithmName="SHA-512" hashValue="rCEIA7Kxg0PEi/0uU+SwZ24oqCtXkqYLqB2hZXmYc4z8wOkXfUcQ/BKHzo6fPZtwJnt7VXM60/2HMh8AMlcCsQ==" saltValue="aFLT7NZrR6A/LSh+BQgIUw==" spinCount="100000" sheet="1" objects="1" scenarios="1"/>
  <mergeCells count="42">
    <mergeCell ref="A27:C27"/>
    <mergeCell ref="A22:B22"/>
    <mergeCell ref="A100:L102"/>
    <mergeCell ref="M100:M102"/>
    <mergeCell ref="N100:N102"/>
    <mergeCell ref="A87:L89"/>
    <mergeCell ref="M87:M89"/>
    <mergeCell ref="N87:N89"/>
    <mergeCell ref="A90:L93"/>
    <mergeCell ref="M90:M93"/>
    <mergeCell ref="N90:N93"/>
    <mergeCell ref="A81:L83"/>
    <mergeCell ref="M81:M83"/>
    <mergeCell ref="N81:N83"/>
    <mergeCell ref="A84:L86"/>
    <mergeCell ref="M84:M86"/>
    <mergeCell ref="A103:L105"/>
    <mergeCell ref="M103:M105"/>
    <mergeCell ref="N103:N105"/>
    <mergeCell ref="A94:L96"/>
    <mergeCell ref="M94:M96"/>
    <mergeCell ref="N94:N96"/>
    <mergeCell ref="A97:L99"/>
    <mergeCell ref="M97:M99"/>
    <mergeCell ref="N97:N99"/>
    <mergeCell ref="N84:N86"/>
    <mergeCell ref="A75:L77"/>
    <mergeCell ref="M75:M77"/>
    <mergeCell ref="N75:N77"/>
    <mergeCell ref="A78:L80"/>
    <mergeCell ref="M78:M80"/>
    <mergeCell ref="N78:N80"/>
    <mergeCell ref="A15:N16"/>
    <mergeCell ref="H18:I18"/>
    <mergeCell ref="J5:K5"/>
    <mergeCell ref="J21:K21"/>
    <mergeCell ref="C24:J24"/>
    <mergeCell ref="A1:N2"/>
    <mergeCell ref="E4:F4"/>
    <mergeCell ref="I11:M11"/>
    <mergeCell ref="A11:H11"/>
    <mergeCell ref="L5:M5"/>
  </mergeCells>
  <conditionalFormatting sqref="I11:M11">
    <cfRule type="containsErrors" dxfId="15" priority="3">
      <formula>ISERROR(I11)</formula>
    </cfRule>
    <cfRule type="containsText" dxfId="14" priority="8" operator="containsText" text="150">
      <formula>NOT(ISERROR(SEARCH("150",I11)))</formula>
    </cfRule>
    <cfRule type="containsText" dxfId="13" priority="9" operator="containsText" text="x20">
      <formula>NOT(ISERROR(SEARCH("x20",I11)))</formula>
    </cfRule>
    <cfRule type="containsText" dxfId="12" priority="10" operator="containsText" text="ზომიერად">
      <formula>NOT(ISERROR(SEARCH("ზომიერად",I11)))</formula>
    </cfRule>
    <cfRule type="containsText" dxfId="11" priority="11" operator="containsText" text="დაბალი">
      <formula>NOT(ISERROR(SEARCH("დაბალი",I11)))</formula>
    </cfRule>
  </conditionalFormatting>
  <conditionalFormatting sqref="B24">
    <cfRule type="containsErrors" dxfId="10" priority="7">
      <formula>ISERROR(B24)</formula>
    </cfRule>
  </conditionalFormatting>
  <conditionalFormatting sqref="B7">
    <cfRule type="containsErrors" dxfId="9" priority="6">
      <formula>ISERROR(B7)</formula>
    </cfRule>
  </conditionalFormatting>
  <conditionalFormatting sqref="B4">
    <cfRule type="containsErrors" dxfId="8" priority="5">
      <formula>ISERROR(B4)</formula>
    </cfRule>
  </conditionalFormatting>
  <conditionalFormatting sqref="C22">
    <cfRule type="containsErrors" dxfId="7" priority="4">
      <formula>ISERROR(C22)</formula>
    </cfRule>
  </conditionalFormatting>
  <conditionalFormatting sqref="C24:J24">
    <cfRule type="containsErrors" dxfId="6" priority="2">
      <formula>ISERROR(C24)</formula>
    </cfRule>
  </conditionalFormatting>
  <conditionalFormatting sqref="D27">
    <cfRule type="containsErrors" dxfId="5" priority="1">
      <formula>ISERROR(D27)</formula>
    </cfRule>
  </conditionalFormatting>
  <hyperlinks>
    <hyperlink ref="A1:N2" location="Main!A1" display="თირკმლების ქრონიკული დაავადება და შაქრიანი დიაბეტი" xr:uid="{7D1FC820-DF0A-455A-89AC-141CAAF9D95E}"/>
    <hyperlink ref="A15:N16" location="Main!A1" display="თირკმლების ქრონიკული დაავადება და შაქრიანი დიაბეტი" xr:uid="{D2311CBF-8514-4F45-8444-5DACA573D52D}"/>
    <hyperlink ref="M75:M77" location="Evidence!A1" display="I" xr:uid="{55BDEEED-2146-4762-A6CF-060288D541C5}"/>
    <hyperlink ref="N75:N77" location="Evidence!A1" display="B" xr:uid="{4718BB6C-118A-4BA4-AC36-8ED9E32DBCB3}"/>
    <hyperlink ref="M78:M80" location="Evidence!A1" display="I" xr:uid="{CC399CC4-37C3-4E69-9B2A-4177315B76B4}"/>
    <hyperlink ref="N78:N80" location="Evidence!A1" display="B" xr:uid="{EDD9758A-E857-4A75-910F-97B6ADE853A6}"/>
    <hyperlink ref="M81:M83" location="Evidence!A1" display="I" xr:uid="{B32760D1-95CC-468B-B20D-6C84FD08EB01}"/>
    <hyperlink ref="N81:N83" location="Evidence!A1" display="B" xr:uid="{EEA22CCC-ADD1-4B52-87FE-D2C66927E2D8}"/>
    <hyperlink ref="M84:M86" location="Evidence!A1" display="I" xr:uid="{C98595AF-F0FB-48D2-97D6-599DCC72357B}"/>
    <hyperlink ref="N84:N86" location="Evidence!A1" display="B" xr:uid="{FDA94880-6DDB-4CCA-8EF1-8D4098DE3684}"/>
    <hyperlink ref="M87:M89" location="Evidence!A1" display="I" xr:uid="{55C3B80C-EBB3-4AE6-9F5A-F40BB29F062F}"/>
    <hyperlink ref="N87:N89" location="Evidence!A1" display="B" xr:uid="{DA396235-EC02-439A-AAFE-BEAA834B47AC}"/>
    <hyperlink ref="M90:M92" location="Evidence!A1" display="I" xr:uid="{38AF2C2A-BC69-4226-947E-75B7A20A5859}"/>
    <hyperlink ref="N90:N92" location="Evidence!A1" display="B" xr:uid="{7827894C-BBE7-4CB4-BDB1-E419EAD0A12C}"/>
    <hyperlink ref="M94:M96" location="Evidence!A1" display="I" xr:uid="{E444F9D2-85A4-4D7D-B09B-5F88B312E03C}"/>
    <hyperlink ref="N94:N96" location="Evidence!A1" display="B" xr:uid="{88361F8D-BBAF-4FA1-AE10-337005859205}"/>
    <hyperlink ref="M97:M99" location="Evidence!A1" display="I" xr:uid="{A6D89B75-AB40-4006-A971-3FC069AC7EEA}"/>
    <hyperlink ref="N97:N99" location="Evidence!A1" display="B" xr:uid="{FB7C7B9A-8BFD-4F92-9EDC-F36DBF82515E}"/>
    <hyperlink ref="M100:M102" location="Evidence!A1" display="I" xr:uid="{339D4B1D-2FD6-458A-9215-3E3F5CEE1A5F}"/>
    <hyperlink ref="N100:N102" location="Evidence!A1" display="B" xr:uid="{98ACCCF4-0FAC-4EB6-8AF6-44423B46E889}"/>
    <hyperlink ref="N103:N105" location="Evidence!A1" display="B" xr:uid="{3CBCD4D1-B477-4D68-BA49-E26112FD1347}"/>
    <hyperlink ref="M103:M105" location="Evidence!A1" display="I" xr:uid="{D5E55DE7-69C1-478C-8365-98D526C04660}"/>
  </hyperlinks>
  <printOptions gridLines="1"/>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3</xdr:col>
                    <xdr:colOff>438150</xdr:colOff>
                    <xdr:row>17</xdr:row>
                    <xdr:rowOff>19050</xdr:rowOff>
                  </from>
                  <to>
                    <xdr:col>4</xdr:col>
                    <xdr:colOff>361950</xdr:colOff>
                    <xdr:row>18</xdr:row>
                    <xdr:rowOff>31750</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4</xdr:col>
                    <xdr:colOff>438150</xdr:colOff>
                    <xdr:row>17</xdr:row>
                    <xdr:rowOff>19050</xdr:rowOff>
                  </from>
                  <to>
                    <xdr:col>5</xdr:col>
                    <xdr:colOff>361950</xdr:colOff>
                    <xdr:row>18</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1D291-2A95-46F6-A103-8C6BB8704F23}">
  <dimension ref="A1:Q70"/>
  <sheetViews>
    <sheetView topLeftCell="A37" workbookViewId="0">
      <selection activeCell="P10" sqref="P10 P6 P31"/>
    </sheetView>
  </sheetViews>
  <sheetFormatPr defaultRowHeight="14.5" x14ac:dyDescent="0.35"/>
  <cols>
    <col min="1" max="15" width="8.7265625" style="79"/>
    <col min="16" max="17" width="8.7265625" style="84"/>
    <col min="18" max="16384" width="8.7265625" style="79"/>
  </cols>
  <sheetData>
    <row r="1" spans="1:17" ht="14.5" customHeight="1" x14ac:dyDescent="0.35">
      <c r="A1" s="186" t="s">
        <v>557</v>
      </c>
      <c r="B1" s="186"/>
      <c r="C1" s="186"/>
      <c r="D1" s="186"/>
      <c r="E1" s="186"/>
      <c r="F1" s="186"/>
      <c r="G1" s="186"/>
      <c r="H1" s="186"/>
      <c r="I1" s="186"/>
      <c r="J1" s="186"/>
      <c r="K1" s="186"/>
      <c r="L1" s="186"/>
      <c r="M1" s="186"/>
      <c r="N1" s="186"/>
      <c r="O1" s="186"/>
    </row>
    <row r="2" spans="1:17" ht="14.5" customHeight="1" x14ac:dyDescent="0.35">
      <c r="A2" s="186"/>
      <c r="B2" s="186"/>
      <c r="C2" s="186"/>
      <c r="D2" s="186"/>
      <c r="E2" s="186"/>
      <c r="F2" s="186"/>
      <c r="G2" s="186"/>
      <c r="H2" s="186"/>
      <c r="I2" s="186"/>
      <c r="J2" s="186"/>
      <c r="K2" s="186"/>
      <c r="L2" s="186"/>
      <c r="M2" s="186"/>
      <c r="N2" s="186"/>
      <c r="O2" s="186"/>
    </row>
    <row r="3" spans="1:17" x14ac:dyDescent="0.35">
      <c r="B3" s="81"/>
      <c r="C3" s="81"/>
      <c r="D3" s="81"/>
      <c r="E3" s="81"/>
      <c r="F3" s="81"/>
      <c r="G3" s="81"/>
      <c r="H3" s="81"/>
      <c r="I3" s="81"/>
      <c r="J3" s="81"/>
      <c r="P3" s="5"/>
    </row>
    <row r="4" spans="1:17" x14ac:dyDescent="0.35">
      <c r="B4" s="81"/>
      <c r="C4" s="81"/>
      <c r="D4" s="195" t="s">
        <v>558</v>
      </c>
      <c r="E4" s="195"/>
      <c r="F4" s="195"/>
      <c r="G4" s="195"/>
      <c r="H4" s="195"/>
      <c r="I4" s="195"/>
      <c r="J4" s="195"/>
      <c r="P4" s="5" t="s">
        <v>578</v>
      </c>
      <c r="Q4" s="5" t="s">
        <v>495</v>
      </c>
    </row>
    <row r="5" spans="1:17" x14ac:dyDescent="0.35">
      <c r="B5" s="81"/>
      <c r="C5" s="81"/>
      <c r="D5" s="81"/>
      <c r="E5" s="81"/>
      <c r="F5" s="81"/>
      <c r="G5" s="81"/>
      <c r="H5" s="81"/>
      <c r="I5" s="81"/>
      <c r="J5" s="81"/>
    </row>
    <row r="6" spans="1:17" x14ac:dyDescent="0.35">
      <c r="B6" s="81"/>
      <c r="C6" s="81"/>
      <c r="D6" s="81"/>
      <c r="E6" s="81"/>
      <c r="F6" s="81"/>
      <c r="G6" s="81"/>
      <c r="H6" s="81"/>
      <c r="I6" s="81"/>
      <c r="J6" s="81"/>
      <c r="P6" s="85">
        <v>1</v>
      </c>
    </row>
    <row r="7" spans="1:17" x14ac:dyDescent="0.35">
      <c r="B7" s="81"/>
      <c r="C7" s="81"/>
      <c r="D7" s="81"/>
      <c r="E7" s="83"/>
      <c r="F7" s="83"/>
      <c r="G7" s="83"/>
      <c r="H7" s="83"/>
      <c r="I7" s="83"/>
      <c r="J7" s="81"/>
    </row>
    <row r="8" spans="1:17" x14ac:dyDescent="0.35">
      <c r="B8" s="196" t="str">
        <f>IF(P6=1,"წყლული ან ჭრილობა",IF(P6=2,"არა",""))</f>
        <v>წყლული ან ჭრილობა</v>
      </c>
      <c r="C8" s="196"/>
      <c r="D8" s="196"/>
      <c r="E8" s="79" t="str">
        <f>IF(P6=2,P4,"")</f>
        <v/>
      </c>
      <c r="F8" s="83" t="str">
        <f>IF(P6=2,P28,"")</f>
        <v/>
      </c>
      <c r="G8" s="83"/>
      <c r="H8" s="83"/>
      <c r="I8" s="83"/>
      <c r="J8" s="81" t="str">
        <f>IF(P6=2,Q4,"")</f>
        <v/>
      </c>
      <c r="K8" s="196" t="str">
        <f>IF(P6=1,"გარდამავალი კოჭლობა",IF(P6=2,"კი",""))</f>
        <v>გარდამავალი კოჭლობა</v>
      </c>
      <c r="L8" s="196"/>
      <c r="M8" s="196"/>
    </row>
    <row r="9" spans="1:17" x14ac:dyDescent="0.35">
      <c r="C9" s="81" t="str">
        <f>IF(P6=1,"↓",IF(P6=2,"↓",""))</f>
        <v>↓</v>
      </c>
      <c r="F9" s="83"/>
      <c r="G9" s="83"/>
      <c r="H9" s="83"/>
      <c r="L9" s="81" t="str">
        <f>IF(P6=1,"↓",IF(P6=2,"↓",""))</f>
        <v>↓</v>
      </c>
      <c r="P9" s="84" t="s">
        <v>559</v>
      </c>
    </row>
    <row r="10" spans="1:17" x14ac:dyDescent="0.35">
      <c r="B10" s="79" t="str">
        <f>IF(P6=1,P9,IF(P6=2,P30,""))</f>
        <v>* კლინიკური კვლევა</v>
      </c>
      <c r="K10" s="79" t="str">
        <f>IF(P6=1,P9,IF(P6=2,P29,""))</f>
        <v>* კლინიკური კვლევა</v>
      </c>
      <c r="P10" s="84" t="s">
        <v>560</v>
      </c>
    </row>
    <row r="11" spans="1:17" x14ac:dyDescent="0.35">
      <c r="B11" s="79" t="str">
        <f>IF(P6=1,P10,IF(P6=2,P31,""))</f>
        <v>* წვივ-მხრის ინდექსი (ABI)</v>
      </c>
      <c r="K11" s="79" t="str">
        <f>IF(P6=1,P10,IF(P6=2,P12,""))</f>
        <v>* წვივ-მხრის ინდექსი (ABI)</v>
      </c>
      <c r="P11" s="84" t="s">
        <v>561</v>
      </c>
    </row>
    <row r="12" spans="1:17" x14ac:dyDescent="0.35">
      <c r="B12" s="79" t="str">
        <f>IF(P6=1,P11,"")</f>
        <v>* ჟანგბადის ტრანსკუტანეური წნევა (TcPO2)</v>
      </c>
      <c r="K12" s="79" t="str">
        <f>IF(P6=1,P12,IF(P6=2,P14,""))</f>
        <v>* დუპლექსსონოგრაფია</v>
      </c>
      <c r="P12" s="84" t="s">
        <v>562</v>
      </c>
    </row>
    <row r="13" spans="1:17" x14ac:dyDescent="0.35">
      <c r="B13" s="79" t="str">
        <f>IF(P6=1,P12,"")</f>
        <v>* დუპლექსსონოგრაფია</v>
      </c>
      <c r="K13" s="79" t="str">
        <f>IF(P6=1,P14,"")</f>
        <v>* ტრედმილის ტესტი</v>
      </c>
      <c r="P13" s="84" t="s">
        <v>563</v>
      </c>
    </row>
    <row r="14" spans="1:17" x14ac:dyDescent="0.35">
      <c r="B14" s="79" t="str">
        <f>IF(P6=1,P13,"")</f>
        <v>* WIfi (ჭრილობა, იშემია, ფეხის ინფექცია) ქულა</v>
      </c>
      <c r="L14" s="81" t="str">
        <f>IF(P6=1,"↓",IF(P6=2,"↓",""))</f>
        <v>↓</v>
      </c>
      <c r="P14" s="84" t="s">
        <v>564</v>
      </c>
    </row>
    <row r="15" spans="1:17" x14ac:dyDescent="0.35">
      <c r="C15" s="81" t="str">
        <f>IF(P6=1,"↓","")</f>
        <v>↓</v>
      </c>
      <c r="J15" s="191" t="str">
        <f>IF(P6=1,P19,IF(P6=2,P19,""))</f>
        <v>დასტურდება თუ არა ქვედა კიდურების არტერიების დაავადება?</v>
      </c>
      <c r="K15" s="191"/>
      <c r="L15" s="191"/>
      <c r="M15" s="191"/>
      <c r="N15" s="191"/>
    </row>
    <row r="16" spans="1:17" x14ac:dyDescent="0.35">
      <c r="B16" s="191" t="str">
        <f>IF(P6=1,P23,"")</f>
        <v>შესაძლებელია თუ არა ჭრილობის მართვა რევასკულარიზაციის გარეშე?</v>
      </c>
      <c r="C16" s="191"/>
      <c r="D16" s="191"/>
      <c r="E16" s="191"/>
      <c r="F16" s="191"/>
      <c r="J16" s="191"/>
      <c r="K16" s="191"/>
      <c r="L16" s="191"/>
      <c r="M16" s="191"/>
      <c r="N16" s="191"/>
      <c r="P16" s="84" t="s">
        <v>566</v>
      </c>
    </row>
    <row r="17" spans="1:16" x14ac:dyDescent="0.35">
      <c r="B17" s="191"/>
      <c r="C17" s="191"/>
      <c r="D17" s="191"/>
      <c r="E17" s="191"/>
      <c r="F17" s="191"/>
      <c r="J17" s="81" t="str">
        <f>IF(P6=1,"↓",IF(P6=2,"↓",""))</f>
        <v>↓</v>
      </c>
      <c r="N17" s="81" t="str">
        <f>IF(P6=1,"↓",IF(P6=2,"↓",""))</f>
        <v>↓</v>
      </c>
      <c r="P17" s="84" t="s">
        <v>573</v>
      </c>
    </row>
    <row r="18" spans="1:16" x14ac:dyDescent="0.35">
      <c r="B18" s="80" t="str">
        <f>IF(P6=1,"↓","")</f>
        <v>↓</v>
      </c>
      <c r="F18" s="81" t="str">
        <f>IF(P6=1,"↓","")</f>
        <v>↓</v>
      </c>
      <c r="J18" s="81" t="str">
        <f>IF(P6=1,"კი",IF(P6=2,"კი",""))</f>
        <v>კი</v>
      </c>
      <c r="N18" s="81" t="str">
        <f>IF(P6=1,"არა",IF(P6=2,"არა",""))</f>
        <v>არა</v>
      </c>
      <c r="P18" s="84" t="s">
        <v>567</v>
      </c>
    </row>
    <row r="19" spans="1:16" x14ac:dyDescent="0.35">
      <c r="B19" s="81" t="str">
        <f>IF(P6=1,"კი","")</f>
        <v>კი</v>
      </c>
      <c r="F19" s="81" t="str">
        <f>IF(P6=1,"არა","")</f>
        <v>არა</v>
      </c>
      <c r="J19" s="81" t="str">
        <f>IF(P6=1,"↓",IF(P6=2,"↓",""))</f>
        <v>↓</v>
      </c>
      <c r="N19" s="81" t="str">
        <f>IF(P6=1,"↓",IF(P6=2,"↓",""))</f>
        <v>↓</v>
      </c>
      <c r="P19" s="84" t="s">
        <v>568</v>
      </c>
    </row>
    <row r="20" spans="1:16" x14ac:dyDescent="0.35">
      <c r="B20" s="81" t="str">
        <f>IF(P6=1,"↓","")</f>
        <v>↓</v>
      </c>
      <c r="F20" s="81" t="str">
        <f>IF(P6=1,"↓","")</f>
        <v>↓</v>
      </c>
      <c r="I20" s="194" t="str">
        <f>IF(P6=1,P22,IF(P6=2,P22,""))</f>
        <v>სპეციალური ვარჯიშები</v>
      </c>
      <c r="J20" s="194"/>
      <c r="K20" s="194"/>
      <c r="M20" s="194" t="str">
        <f>IF(P6=1,P20,IF(P6=2,P20,""))</f>
        <v>ეძებეთ სხვა მიზეზ(ებ)ი</v>
      </c>
      <c r="N20" s="194"/>
      <c r="O20" s="194"/>
      <c r="P20" s="84" t="s">
        <v>569</v>
      </c>
    </row>
    <row r="21" spans="1:16" ht="14.5" customHeight="1" x14ac:dyDescent="0.35">
      <c r="A21" s="192" t="str">
        <f>IF(P6=1,P16,"")</f>
        <v>რეგულარული სკრინინგი და მეთვალყურეობა</v>
      </c>
      <c r="B21" s="192"/>
      <c r="C21" s="192"/>
      <c r="E21" s="192" t="str">
        <f>IF(P6=1,P17,"")</f>
        <v>მაგნიტურ-რეზონანსული (MRA) ან კომპიუტერულ-ტომოგრაფიული ანგიოგრაფია (CTA)</v>
      </c>
      <c r="F21" s="192"/>
      <c r="G21" s="192"/>
      <c r="J21" s="81" t="str">
        <f>IF(P6=1,"↓",IF(P6=2,"↓",""))</f>
        <v>↓</v>
      </c>
      <c r="M21" s="194" t="str">
        <f>IF(P6=1,P21,IF(P6=2,P21,""))</f>
        <v>რეგულარული სკრინინგი</v>
      </c>
      <c r="N21" s="194"/>
      <c r="O21" s="194"/>
      <c r="P21" s="84" t="s">
        <v>570</v>
      </c>
    </row>
    <row r="22" spans="1:16" ht="14.5" customHeight="1" x14ac:dyDescent="0.35">
      <c r="A22" s="192"/>
      <c r="B22" s="192"/>
      <c r="C22" s="192"/>
      <c r="E22" s="192"/>
      <c r="F22" s="192"/>
      <c r="G22" s="192"/>
      <c r="I22" s="191" t="str">
        <f>IF(P6=1,P24,IF(P6=2,P24,""))</f>
        <v>რჩება თუ არა ყოველდღიური აქტივობების შეზღუდვა?</v>
      </c>
      <c r="J22" s="191"/>
      <c r="K22" s="191"/>
      <c r="P22" s="84" t="s">
        <v>571</v>
      </c>
    </row>
    <row r="23" spans="1:16" x14ac:dyDescent="0.35">
      <c r="E23" s="192"/>
      <c r="F23" s="192"/>
      <c r="G23" s="192"/>
      <c r="I23" s="191"/>
      <c r="J23" s="191"/>
      <c r="K23" s="191"/>
      <c r="P23" s="84" t="s">
        <v>565</v>
      </c>
    </row>
    <row r="24" spans="1:16" x14ac:dyDescent="0.35">
      <c r="E24" s="192"/>
      <c r="F24" s="192"/>
      <c r="G24" s="192"/>
      <c r="I24" s="191"/>
      <c r="J24" s="191"/>
      <c r="K24" s="191"/>
      <c r="P24" s="84" t="s">
        <v>572</v>
      </c>
    </row>
    <row r="25" spans="1:16" x14ac:dyDescent="0.35">
      <c r="F25" s="81" t="str">
        <f>IF(P6=1,"↓","")</f>
        <v>↓</v>
      </c>
      <c r="I25" s="81" t="str">
        <f>IF(P6=1,"↓",IF(P6=2,"↓",""))</f>
        <v>↓</v>
      </c>
      <c r="K25" s="81" t="str">
        <f>IF(P6=1,"↓",IF(P6=2,"↓",""))</f>
        <v>↓</v>
      </c>
      <c r="P25" s="84" t="s">
        <v>574</v>
      </c>
    </row>
    <row r="26" spans="1:16" x14ac:dyDescent="0.35">
      <c r="E26" s="194" t="str">
        <f>IF(P6=1,P18,"")</f>
        <v>რევასკულარიზაცია</v>
      </c>
      <c r="F26" s="194"/>
      <c r="G26" s="194"/>
      <c r="I26" s="81" t="str">
        <f>IF(P6=1,"კი",IF(P6=2,"კი",""))</f>
        <v>კი</v>
      </c>
      <c r="K26" s="81" t="str">
        <f>IF(P6=1,"არა",IF(P6=2,"არა",""))</f>
        <v>არა</v>
      </c>
      <c r="P26" s="84" t="s">
        <v>575</v>
      </c>
    </row>
    <row r="27" spans="1:16" x14ac:dyDescent="0.35">
      <c r="F27" s="81" t="str">
        <f>IF(P6=1,"↓","")</f>
        <v>↓</v>
      </c>
      <c r="I27" s="81" t="str">
        <f>IF(P6=1,"↓",IF(P6=2,"↓",""))</f>
        <v>↓</v>
      </c>
      <c r="K27" s="81" t="str">
        <f>IF(P6=1,"↓",IF(P6=2,"↓",""))</f>
        <v>↓</v>
      </c>
      <c r="P27" s="84" t="s">
        <v>576</v>
      </c>
    </row>
    <row r="28" spans="1:16" x14ac:dyDescent="0.35">
      <c r="E28" s="192" t="str">
        <f>IF(P6=1,P16,"")</f>
        <v>რეგულარული სკრინინგი და მეთვალყურეობა</v>
      </c>
      <c r="F28" s="192"/>
      <c r="G28" s="192"/>
      <c r="I28" s="192" t="str">
        <f>IF(P6=1,P25,IF(P6=2,P25,""))</f>
        <v>MRA ან CTA</v>
      </c>
      <c r="J28" s="82"/>
      <c r="K28" s="193" t="str">
        <f>IF(P6=1,P16,IF(P6=2,P16,""))</f>
        <v>რეგულარული სკრინინგი და მეთვალყურეობა</v>
      </c>
      <c r="L28" s="193"/>
      <c r="M28" s="193"/>
      <c r="P28" s="84" t="s">
        <v>577</v>
      </c>
    </row>
    <row r="29" spans="1:16" x14ac:dyDescent="0.35">
      <c r="E29" s="192"/>
      <c r="F29" s="192"/>
      <c r="G29" s="192"/>
      <c r="I29" s="192"/>
      <c r="J29" s="82"/>
      <c r="K29" s="193"/>
      <c r="L29" s="193"/>
      <c r="M29" s="193"/>
      <c r="P29" s="84" t="s">
        <v>579</v>
      </c>
    </row>
    <row r="30" spans="1:16" x14ac:dyDescent="0.35">
      <c r="I30" s="81" t="str">
        <f>IF(P6=1,"↓",IF(P6=2,"↓",""))</f>
        <v>↓</v>
      </c>
      <c r="P30" s="84" t="s">
        <v>580</v>
      </c>
    </row>
    <row r="31" spans="1:16" x14ac:dyDescent="0.35">
      <c r="H31" s="192" t="str">
        <f>IF(P6=1,P26,IF(P6=2,P26,""))</f>
        <v>რევასკულარიზაცია და შემდგომი რეგულარული სკრინინგი</v>
      </c>
      <c r="I31" s="192"/>
      <c r="J31" s="192"/>
      <c r="P31" s="84" t="s">
        <v>581</v>
      </c>
    </row>
    <row r="32" spans="1:16" x14ac:dyDescent="0.35">
      <c r="H32" s="192"/>
      <c r="I32" s="192"/>
      <c r="J32" s="192"/>
    </row>
    <row r="33" spans="1:15" x14ac:dyDescent="0.35">
      <c r="H33" s="192"/>
      <c r="I33" s="192"/>
      <c r="J33" s="192"/>
    </row>
    <row r="35" spans="1:15" x14ac:dyDescent="0.35">
      <c r="A35" s="186" t="s">
        <v>582</v>
      </c>
      <c r="B35" s="186"/>
      <c r="C35" s="186"/>
      <c r="D35" s="186"/>
      <c r="E35" s="186"/>
      <c r="F35" s="186"/>
      <c r="G35" s="186"/>
      <c r="H35" s="186"/>
      <c r="I35" s="186"/>
      <c r="J35" s="186"/>
      <c r="K35" s="186"/>
      <c r="L35" s="186"/>
      <c r="M35" s="186"/>
      <c r="N35" s="186"/>
      <c r="O35" s="186"/>
    </row>
    <row r="36" spans="1:15" x14ac:dyDescent="0.35">
      <c r="A36" s="186"/>
      <c r="B36" s="186"/>
      <c r="C36" s="186"/>
      <c r="D36" s="186"/>
      <c r="E36" s="186"/>
      <c r="F36" s="186"/>
      <c r="G36" s="186"/>
      <c r="H36" s="186"/>
      <c r="I36" s="186"/>
      <c r="J36" s="186"/>
      <c r="K36" s="186"/>
      <c r="L36" s="186"/>
      <c r="M36" s="186"/>
      <c r="N36" s="186"/>
      <c r="O36" s="186"/>
    </row>
    <row r="38" spans="1:15" x14ac:dyDescent="0.35">
      <c r="A38" s="63" t="s">
        <v>583</v>
      </c>
      <c r="B38" s="64"/>
      <c r="C38" s="64"/>
      <c r="D38" s="64"/>
      <c r="E38" s="64"/>
      <c r="F38" s="64"/>
      <c r="G38" s="64"/>
      <c r="H38" s="64"/>
      <c r="I38" s="64"/>
      <c r="J38" s="64"/>
      <c r="K38" s="64"/>
      <c r="L38" s="64"/>
      <c r="M38" s="64"/>
      <c r="N38" s="65"/>
    </row>
    <row r="39" spans="1:15" x14ac:dyDescent="0.35">
      <c r="A39" s="106" t="s">
        <v>584</v>
      </c>
      <c r="B39" s="107"/>
      <c r="C39" s="107"/>
      <c r="D39" s="107"/>
      <c r="E39" s="107"/>
      <c r="F39" s="107"/>
      <c r="G39" s="107"/>
      <c r="H39" s="107"/>
      <c r="I39" s="107"/>
      <c r="J39" s="107"/>
      <c r="K39" s="107"/>
      <c r="L39" s="108"/>
      <c r="M39" s="102" t="s">
        <v>66</v>
      </c>
      <c r="N39" s="103" t="s">
        <v>207</v>
      </c>
    </row>
    <row r="40" spans="1:15" x14ac:dyDescent="0.35">
      <c r="A40" s="109"/>
      <c r="B40" s="110"/>
      <c r="C40" s="110"/>
      <c r="D40" s="110"/>
      <c r="E40" s="110"/>
      <c r="F40" s="110"/>
      <c r="G40" s="110"/>
      <c r="H40" s="110"/>
      <c r="I40" s="110"/>
      <c r="J40" s="110"/>
      <c r="K40" s="110"/>
      <c r="L40" s="111"/>
      <c r="M40" s="102"/>
      <c r="N40" s="103"/>
    </row>
    <row r="41" spans="1:15" x14ac:dyDescent="0.35">
      <c r="A41" s="112"/>
      <c r="B41" s="113"/>
      <c r="C41" s="113"/>
      <c r="D41" s="113"/>
      <c r="E41" s="113"/>
      <c r="F41" s="113"/>
      <c r="G41" s="113"/>
      <c r="H41" s="113"/>
      <c r="I41" s="113"/>
      <c r="J41" s="113"/>
      <c r="K41" s="113"/>
      <c r="L41" s="114"/>
      <c r="M41" s="102"/>
      <c r="N41" s="103"/>
    </row>
    <row r="42" spans="1:15" x14ac:dyDescent="0.35">
      <c r="A42" s="106" t="s">
        <v>585</v>
      </c>
      <c r="B42" s="107"/>
      <c r="C42" s="107"/>
      <c r="D42" s="107"/>
      <c r="E42" s="107"/>
      <c r="F42" s="107"/>
      <c r="G42" s="107"/>
      <c r="H42" s="107"/>
      <c r="I42" s="107"/>
      <c r="J42" s="107"/>
      <c r="K42" s="107"/>
      <c r="L42" s="108"/>
      <c r="M42" s="102" t="s">
        <v>66</v>
      </c>
      <c r="N42" s="101" t="s">
        <v>67</v>
      </c>
    </row>
    <row r="43" spans="1:15" x14ac:dyDescent="0.35">
      <c r="A43" s="109"/>
      <c r="B43" s="110"/>
      <c r="C43" s="110"/>
      <c r="D43" s="110"/>
      <c r="E43" s="110"/>
      <c r="F43" s="110"/>
      <c r="G43" s="110"/>
      <c r="H43" s="110"/>
      <c r="I43" s="110"/>
      <c r="J43" s="110"/>
      <c r="K43" s="110"/>
      <c r="L43" s="111"/>
      <c r="M43" s="102"/>
      <c r="N43" s="101"/>
    </row>
    <row r="44" spans="1:15" x14ac:dyDescent="0.35">
      <c r="A44" s="112"/>
      <c r="B44" s="113"/>
      <c r="C44" s="113"/>
      <c r="D44" s="113"/>
      <c r="E44" s="113"/>
      <c r="F44" s="113"/>
      <c r="G44" s="113"/>
      <c r="H44" s="113"/>
      <c r="I44" s="113"/>
      <c r="J44" s="113"/>
      <c r="K44" s="113"/>
      <c r="L44" s="114"/>
      <c r="M44" s="102"/>
      <c r="N44" s="101"/>
    </row>
    <row r="45" spans="1:15" x14ac:dyDescent="0.35">
      <c r="A45" s="106" t="s">
        <v>586</v>
      </c>
      <c r="B45" s="107"/>
      <c r="C45" s="107"/>
      <c r="D45" s="107"/>
      <c r="E45" s="107"/>
      <c r="F45" s="107"/>
      <c r="G45" s="107"/>
      <c r="H45" s="107"/>
      <c r="I45" s="107"/>
      <c r="J45" s="107"/>
      <c r="K45" s="107"/>
      <c r="L45" s="108"/>
      <c r="M45" s="102" t="s">
        <v>66</v>
      </c>
      <c r="N45" s="101" t="s">
        <v>67</v>
      </c>
    </row>
    <row r="46" spans="1:15" x14ac:dyDescent="0.35">
      <c r="A46" s="109"/>
      <c r="B46" s="110"/>
      <c r="C46" s="110"/>
      <c r="D46" s="110"/>
      <c r="E46" s="110"/>
      <c r="F46" s="110"/>
      <c r="G46" s="110"/>
      <c r="H46" s="110"/>
      <c r="I46" s="110"/>
      <c r="J46" s="110"/>
      <c r="K46" s="110"/>
      <c r="L46" s="111"/>
      <c r="M46" s="102"/>
      <c r="N46" s="101"/>
    </row>
    <row r="47" spans="1:15" x14ac:dyDescent="0.35">
      <c r="A47" s="112"/>
      <c r="B47" s="113"/>
      <c r="C47" s="113"/>
      <c r="D47" s="113"/>
      <c r="E47" s="113"/>
      <c r="F47" s="113"/>
      <c r="G47" s="113"/>
      <c r="H47" s="113"/>
      <c r="I47" s="113"/>
      <c r="J47" s="113"/>
      <c r="K47" s="113"/>
      <c r="L47" s="114"/>
      <c r="M47" s="102"/>
      <c r="N47" s="101"/>
    </row>
    <row r="48" spans="1:15" x14ac:dyDescent="0.35">
      <c r="A48" s="106" t="s">
        <v>587</v>
      </c>
      <c r="B48" s="107"/>
      <c r="C48" s="107"/>
      <c r="D48" s="107"/>
      <c r="E48" s="107"/>
      <c r="F48" s="107"/>
      <c r="G48" s="107"/>
      <c r="H48" s="107"/>
      <c r="I48" s="107"/>
      <c r="J48" s="107"/>
      <c r="K48" s="107"/>
      <c r="L48" s="108"/>
      <c r="M48" s="102" t="s">
        <v>66</v>
      </c>
      <c r="N48" s="104" t="s">
        <v>210</v>
      </c>
    </row>
    <row r="49" spans="1:14" x14ac:dyDescent="0.35">
      <c r="A49" s="109"/>
      <c r="B49" s="110"/>
      <c r="C49" s="110"/>
      <c r="D49" s="110"/>
      <c r="E49" s="110"/>
      <c r="F49" s="110"/>
      <c r="G49" s="110"/>
      <c r="H49" s="110"/>
      <c r="I49" s="110"/>
      <c r="J49" s="110"/>
      <c r="K49" s="110"/>
      <c r="L49" s="111"/>
      <c r="M49" s="102"/>
      <c r="N49" s="104"/>
    </row>
    <row r="50" spans="1:14" x14ac:dyDescent="0.35">
      <c r="A50" s="112"/>
      <c r="B50" s="113"/>
      <c r="C50" s="113"/>
      <c r="D50" s="113"/>
      <c r="E50" s="113"/>
      <c r="F50" s="113"/>
      <c r="G50" s="113"/>
      <c r="H50" s="113"/>
      <c r="I50" s="113"/>
      <c r="J50" s="113"/>
      <c r="K50" s="113"/>
      <c r="L50" s="114"/>
      <c r="M50" s="102"/>
      <c r="N50" s="104"/>
    </row>
    <row r="51" spans="1:14" x14ac:dyDescent="0.35">
      <c r="A51" s="106" t="s">
        <v>588</v>
      </c>
      <c r="B51" s="107"/>
      <c r="C51" s="107"/>
      <c r="D51" s="107"/>
      <c r="E51" s="107"/>
      <c r="F51" s="107"/>
      <c r="G51" s="107"/>
      <c r="H51" s="107"/>
      <c r="I51" s="107"/>
      <c r="J51" s="107"/>
      <c r="K51" s="107"/>
      <c r="L51" s="108"/>
      <c r="M51" s="102" t="s">
        <v>66</v>
      </c>
      <c r="N51" s="104" t="s">
        <v>210</v>
      </c>
    </row>
    <row r="52" spans="1:14" x14ac:dyDescent="0.35">
      <c r="A52" s="109"/>
      <c r="B52" s="110"/>
      <c r="C52" s="110"/>
      <c r="D52" s="110"/>
      <c r="E52" s="110"/>
      <c r="F52" s="110"/>
      <c r="G52" s="110"/>
      <c r="H52" s="110"/>
      <c r="I52" s="110"/>
      <c r="J52" s="110"/>
      <c r="K52" s="110"/>
      <c r="L52" s="111"/>
      <c r="M52" s="102"/>
      <c r="N52" s="104"/>
    </row>
    <row r="53" spans="1:14" x14ac:dyDescent="0.35">
      <c r="A53" s="112"/>
      <c r="B53" s="113"/>
      <c r="C53" s="113"/>
      <c r="D53" s="113"/>
      <c r="E53" s="113"/>
      <c r="F53" s="113"/>
      <c r="G53" s="113"/>
      <c r="H53" s="113"/>
      <c r="I53" s="113"/>
      <c r="J53" s="113"/>
      <c r="K53" s="113"/>
      <c r="L53" s="114"/>
      <c r="M53" s="102"/>
      <c r="N53" s="104"/>
    </row>
    <row r="54" spans="1:14" x14ac:dyDescent="0.35">
      <c r="A54" s="106" t="s">
        <v>589</v>
      </c>
      <c r="B54" s="107"/>
      <c r="C54" s="107"/>
      <c r="D54" s="107"/>
      <c r="E54" s="107"/>
      <c r="F54" s="107"/>
      <c r="G54" s="107"/>
      <c r="H54" s="107"/>
      <c r="I54" s="107"/>
      <c r="J54" s="107"/>
      <c r="K54" s="107"/>
      <c r="L54" s="108"/>
      <c r="M54" s="102" t="s">
        <v>66</v>
      </c>
      <c r="N54" s="104" t="s">
        <v>210</v>
      </c>
    </row>
    <row r="55" spans="1:14" x14ac:dyDescent="0.35">
      <c r="A55" s="109"/>
      <c r="B55" s="110"/>
      <c r="C55" s="110"/>
      <c r="D55" s="110"/>
      <c r="E55" s="110"/>
      <c r="F55" s="110"/>
      <c r="G55" s="110"/>
      <c r="H55" s="110"/>
      <c r="I55" s="110"/>
      <c r="J55" s="110"/>
      <c r="K55" s="110"/>
      <c r="L55" s="111"/>
      <c r="M55" s="102"/>
      <c r="N55" s="104"/>
    </row>
    <row r="56" spans="1:14" x14ac:dyDescent="0.35">
      <c r="A56" s="112"/>
      <c r="B56" s="113"/>
      <c r="C56" s="113"/>
      <c r="D56" s="113"/>
      <c r="E56" s="113"/>
      <c r="F56" s="113"/>
      <c r="G56" s="113"/>
      <c r="H56" s="113"/>
      <c r="I56" s="113"/>
      <c r="J56" s="113"/>
      <c r="K56" s="113"/>
      <c r="L56" s="114"/>
      <c r="M56" s="102"/>
      <c r="N56" s="104"/>
    </row>
    <row r="57" spans="1:14" x14ac:dyDescent="0.35">
      <c r="A57" s="106" t="s">
        <v>590</v>
      </c>
      <c r="B57" s="107"/>
      <c r="C57" s="107"/>
      <c r="D57" s="107"/>
      <c r="E57" s="107"/>
      <c r="F57" s="107"/>
      <c r="G57" s="107"/>
      <c r="H57" s="107"/>
      <c r="I57" s="107"/>
      <c r="J57" s="107"/>
      <c r="K57" s="107"/>
      <c r="L57" s="108"/>
      <c r="M57" s="102" t="s">
        <v>66</v>
      </c>
      <c r="N57" s="104" t="s">
        <v>210</v>
      </c>
    </row>
    <row r="58" spans="1:14" x14ac:dyDescent="0.35">
      <c r="A58" s="109"/>
      <c r="B58" s="110"/>
      <c r="C58" s="110"/>
      <c r="D58" s="110"/>
      <c r="E58" s="110"/>
      <c r="F58" s="110"/>
      <c r="G58" s="110"/>
      <c r="H58" s="110"/>
      <c r="I58" s="110"/>
      <c r="J58" s="110"/>
      <c r="K58" s="110"/>
      <c r="L58" s="111"/>
      <c r="M58" s="102"/>
      <c r="N58" s="104"/>
    </row>
    <row r="59" spans="1:14" x14ac:dyDescent="0.35">
      <c r="A59" s="112"/>
      <c r="B59" s="113"/>
      <c r="C59" s="113"/>
      <c r="D59" s="113"/>
      <c r="E59" s="113"/>
      <c r="F59" s="113"/>
      <c r="G59" s="113"/>
      <c r="H59" s="113"/>
      <c r="I59" s="113"/>
      <c r="J59" s="113"/>
      <c r="K59" s="113"/>
      <c r="L59" s="114"/>
      <c r="M59" s="102"/>
      <c r="N59" s="104"/>
    </row>
    <row r="60" spans="1:14" x14ac:dyDescent="0.35">
      <c r="A60" s="106" t="s">
        <v>591</v>
      </c>
      <c r="B60" s="107"/>
      <c r="C60" s="107"/>
      <c r="D60" s="107"/>
      <c r="E60" s="107"/>
      <c r="F60" s="107"/>
      <c r="G60" s="107"/>
      <c r="H60" s="107"/>
      <c r="I60" s="107"/>
      <c r="J60" s="107"/>
      <c r="K60" s="107"/>
      <c r="L60" s="108"/>
      <c r="M60" s="102" t="s">
        <v>66</v>
      </c>
      <c r="N60" s="104" t="s">
        <v>210</v>
      </c>
    </row>
    <row r="61" spans="1:14" x14ac:dyDescent="0.35">
      <c r="A61" s="109"/>
      <c r="B61" s="110"/>
      <c r="C61" s="110"/>
      <c r="D61" s="110"/>
      <c r="E61" s="110"/>
      <c r="F61" s="110"/>
      <c r="G61" s="110"/>
      <c r="H61" s="110"/>
      <c r="I61" s="110"/>
      <c r="J61" s="110"/>
      <c r="K61" s="110"/>
      <c r="L61" s="111"/>
      <c r="M61" s="102"/>
      <c r="N61" s="104"/>
    </row>
    <row r="62" spans="1:14" x14ac:dyDescent="0.35">
      <c r="A62" s="112"/>
      <c r="B62" s="113"/>
      <c r="C62" s="113"/>
      <c r="D62" s="113"/>
      <c r="E62" s="113"/>
      <c r="F62" s="113"/>
      <c r="G62" s="113"/>
      <c r="H62" s="113"/>
      <c r="I62" s="113"/>
      <c r="J62" s="113"/>
      <c r="K62" s="113"/>
      <c r="L62" s="114"/>
      <c r="M62" s="102"/>
      <c r="N62" s="104"/>
    </row>
    <row r="63" spans="1:14" x14ac:dyDescent="0.35">
      <c r="A63" s="106" t="s">
        <v>592</v>
      </c>
      <c r="B63" s="107"/>
      <c r="C63" s="107"/>
      <c r="D63" s="107"/>
      <c r="E63" s="107"/>
      <c r="F63" s="107"/>
      <c r="G63" s="107"/>
      <c r="H63" s="107"/>
      <c r="I63" s="107"/>
      <c r="J63" s="107"/>
      <c r="K63" s="107"/>
      <c r="L63" s="108"/>
      <c r="M63" s="100" t="s">
        <v>208</v>
      </c>
      <c r="N63" s="101" t="s">
        <v>67</v>
      </c>
    </row>
    <row r="64" spans="1:14" x14ac:dyDescent="0.35">
      <c r="A64" s="109"/>
      <c r="B64" s="110"/>
      <c r="C64" s="110"/>
      <c r="D64" s="110"/>
      <c r="E64" s="110"/>
      <c r="F64" s="110"/>
      <c r="G64" s="110"/>
      <c r="H64" s="110"/>
      <c r="I64" s="110"/>
      <c r="J64" s="110"/>
      <c r="K64" s="110"/>
      <c r="L64" s="111"/>
      <c r="M64" s="100"/>
      <c r="N64" s="101"/>
    </row>
    <row r="65" spans="1:14" x14ac:dyDescent="0.35">
      <c r="A65" s="112"/>
      <c r="B65" s="113"/>
      <c r="C65" s="113"/>
      <c r="D65" s="113"/>
      <c r="E65" s="113"/>
      <c r="F65" s="113"/>
      <c r="G65" s="113"/>
      <c r="H65" s="113"/>
      <c r="I65" s="113"/>
      <c r="J65" s="113"/>
      <c r="K65" s="113"/>
      <c r="L65" s="114"/>
      <c r="M65" s="100"/>
      <c r="N65" s="101"/>
    </row>
    <row r="67" spans="1:14" x14ac:dyDescent="0.35">
      <c r="A67" s="63" t="s">
        <v>593</v>
      </c>
      <c r="B67" s="64"/>
      <c r="C67" s="64"/>
      <c r="D67" s="64"/>
      <c r="E67" s="64"/>
      <c r="F67" s="64"/>
      <c r="G67" s="64"/>
      <c r="H67" s="64"/>
      <c r="I67" s="64"/>
      <c r="J67" s="64"/>
      <c r="K67" s="64"/>
      <c r="L67" s="64"/>
      <c r="M67" s="64"/>
      <c r="N67" s="65"/>
    </row>
    <row r="68" spans="1:14" x14ac:dyDescent="0.35">
      <c r="A68" s="106" t="s">
        <v>594</v>
      </c>
      <c r="B68" s="107"/>
      <c r="C68" s="107"/>
      <c r="D68" s="107"/>
      <c r="E68" s="107"/>
      <c r="F68" s="107"/>
      <c r="G68" s="107"/>
      <c r="H68" s="107"/>
      <c r="I68" s="107"/>
      <c r="J68" s="107"/>
      <c r="K68" s="107"/>
      <c r="L68" s="108"/>
      <c r="M68" s="102" t="s">
        <v>66</v>
      </c>
      <c r="N68" s="104" t="s">
        <v>210</v>
      </c>
    </row>
    <row r="69" spans="1:14" x14ac:dyDescent="0.35">
      <c r="A69" s="109"/>
      <c r="B69" s="110"/>
      <c r="C69" s="110"/>
      <c r="D69" s="110"/>
      <c r="E69" s="110"/>
      <c r="F69" s="110"/>
      <c r="G69" s="110"/>
      <c r="H69" s="110"/>
      <c r="I69" s="110"/>
      <c r="J69" s="110"/>
      <c r="K69" s="110"/>
      <c r="L69" s="111"/>
      <c r="M69" s="102"/>
      <c r="N69" s="104"/>
    </row>
    <row r="70" spans="1:14" x14ac:dyDescent="0.35">
      <c r="A70" s="112"/>
      <c r="B70" s="113"/>
      <c r="C70" s="113"/>
      <c r="D70" s="113"/>
      <c r="E70" s="113"/>
      <c r="F70" s="113"/>
      <c r="G70" s="113"/>
      <c r="H70" s="113"/>
      <c r="I70" s="113"/>
      <c r="J70" s="113"/>
      <c r="K70" s="113"/>
      <c r="L70" s="114"/>
      <c r="M70" s="102"/>
      <c r="N70" s="104"/>
    </row>
  </sheetData>
  <sheetProtection algorithmName="SHA-512" hashValue="PAjJS7J9I9NLvljGN3vK/Ebxs0a8aePeCMXvQMzS+eM6Bjwjhzdsu610ogP/QNBPbCUE4tkAcHA33+st8CZfMA==" saltValue="HxmQuCbUl3CFRvykAFoYOw==" spinCount="100000" sheet="1" objects="1" scenarios="1"/>
  <mergeCells count="48">
    <mergeCell ref="A1:O2"/>
    <mergeCell ref="J15:N16"/>
    <mergeCell ref="M20:O20"/>
    <mergeCell ref="M21:O21"/>
    <mergeCell ref="I20:K20"/>
    <mergeCell ref="D4:J4"/>
    <mergeCell ref="K8:M8"/>
    <mergeCell ref="B8:D8"/>
    <mergeCell ref="B16:F17"/>
    <mergeCell ref="I22:K24"/>
    <mergeCell ref="I28:I29"/>
    <mergeCell ref="H31:J33"/>
    <mergeCell ref="K28:M29"/>
    <mergeCell ref="A21:C22"/>
    <mergeCell ref="E21:G24"/>
    <mergeCell ref="E26:G26"/>
    <mergeCell ref="E28:G29"/>
    <mergeCell ref="A35:O36"/>
    <mergeCell ref="A39:L41"/>
    <mergeCell ref="M39:M41"/>
    <mergeCell ref="N39:N41"/>
    <mergeCell ref="A42:L44"/>
    <mergeCell ref="M42:M44"/>
    <mergeCell ref="N42:N44"/>
    <mergeCell ref="A45:L47"/>
    <mergeCell ref="M45:M47"/>
    <mergeCell ref="N45:N47"/>
    <mergeCell ref="A48:L50"/>
    <mergeCell ref="M48:M50"/>
    <mergeCell ref="N48:N50"/>
    <mergeCell ref="A51:L53"/>
    <mergeCell ref="M51:M53"/>
    <mergeCell ref="N51:N53"/>
    <mergeCell ref="A54:L56"/>
    <mergeCell ref="M54:M56"/>
    <mergeCell ref="N54:N56"/>
    <mergeCell ref="A57:L59"/>
    <mergeCell ref="M57:M59"/>
    <mergeCell ref="N57:N59"/>
    <mergeCell ref="A60:L62"/>
    <mergeCell ref="M60:M62"/>
    <mergeCell ref="N60:N62"/>
    <mergeCell ref="A63:L65"/>
    <mergeCell ref="M63:M65"/>
    <mergeCell ref="N63:N65"/>
    <mergeCell ref="A68:L70"/>
    <mergeCell ref="M68:M70"/>
    <mergeCell ref="N68:N70"/>
  </mergeCells>
  <conditionalFormatting sqref="B16:F17">
    <cfRule type="notContainsBlanks" dxfId="4" priority="5">
      <formula>LEN(TRIM(B16))&gt;0</formula>
    </cfRule>
  </conditionalFormatting>
  <conditionalFormatting sqref="J15:N16">
    <cfRule type="notContainsBlanks" dxfId="3" priority="4">
      <formula>LEN(TRIM(J15))&gt;0</formula>
    </cfRule>
  </conditionalFormatting>
  <conditionalFormatting sqref="I22:K24">
    <cfRule type="notContainsBlanks" dxfId="2" priority="3">
      <formula>LEN(TRIM(I22))&gt;0</formula>
    </cfRule>
  </conditionalFormatting>
  <conditionalFormatting sqref="B8:D8">
    <cfRule type="containsText" dxfId="1" priority="2" operator="containsText" text="წყლული">
      <formula>NOT(ISERROR(SEARCH("წყლული",B8)))</formula>
    </cfRule>
  </conditionalFormatting>
  <conditionalFormatting sqref="K8:M8">
    <cfRule type="containsText" dxfId="0" priority="1" operator="containsText" text="კოჭლობა">
      <formula>NOT(ISERROR(SEARCH("კოჭლობა",K8)))</formula>
    </cfRule>
  </conditionalFormatting>
  <hyperlinks>
    <hyperlink ref="A1:N2" location="Main!A1" display="თირკმლების ქრონიკული დაავადება და შაქრიანი დიაბეტი" xr:uid="{A6D08E27-5AA5-48A8-A993-FD4EEAF33796}"/>
    <hyperlink ref="A35:N36" location="Main!A1" display="თირკმლების ქრონიკული დაავადება და შაქრიანი დიაბეტი" xr:uid="{C2DA660C-85AD-4330-AB9A-51243FA531B6}"/>
    <hyperlink ref="M39:M41" location="Evidence!A1" display="I" xr:uid="{224AA919-41D1-4DB6-BA5F-2A394817A17F}"/>
    <hyperlink ref="N39:N41" location="Evidence!A1" display="B" xr:uid="{0C1CE3D0-FC84-40C2-98D0-2EF4A337E2A9}"/>
    <hyperlink ref="M42:M44" location="Evidence!A1" display="I" xr:uid="{5B0FC7C4-28BD-435E-88F3-3F3749AC52BC}"/>
    <hyperlink ref="N42:N44" location="Evidence!A1" display="B" xr:uid="{DBAFEDBB-0E5C-435E-8E37-42C9AEA4B2EF}"/>
    <hyperlink ref="M45:M47" location="Evidence!A1" display="I" xr:uid="{B67BDFD5-8777-4EAE-BF72-5D9A71F07D24}"/>
    <hyperlink ref="N45:N47" location="Evidence!A1" display="B" xr:uid="{B908C78F-8E39-4C63-B1C4-A327C5A806E1}"/>
    <hyperlink ref="M48:M50" location="Evidence!A1" display="I" xr:uid="{7ECEA153-1A42-41F7-B029-7DC4E2F94F15}"/>
    <hyperlink ref="N48:N50" location="Evidence!A1" display="B" xr:uid="{A2027B2F-1E71-4D5E-9F5D-DBC6AB7CF0C7}"/>
    <hyperlink ref="M51:M53" location="Evidence!A1" display="I" xr:uid="{9D812C95-2306-4541-9D44-074D6D081581}"/>
    <hyperlink ref="N51:N53" location="Evidence!A1" display="B" xr:uid="{57C4A4A3-40C1-4A45-A3F0-A871C6A26C47}"/>
    <hyperlink ref="M54:M56" location="Evidence!A1" display="I" xr:uid="{7B3D7462-3676-4C79-B1BD-EF3724BCB01A}"/>
    <hyperlink ref="N54:N56" location="Evidence!A1" display="B" xr:uid="{05B4AD1B-C7D1-4264-A1E9-59D013C0289D}"/>
    <hyperlink ref="M57:M59" location="Evidence!A1" display="I" xr:uid="{74D5DDA4-677C-4D16-9A07-7F628CA0FFC1}"/>
    <hyperlink ref="N57:N59" location="Evidence!A1" display="B" xr:uid="{4BE5FA7B-B4C2-4057-900C-B2176ED383A9}"/>
    <hyperlink ref="M60:M62" location="Evidence!A1" display="I" xr:uid="{0E30CA98-AB7F-445D-8487-3C899FC29138}"/>
    <hyperlink ref="N60:N62" location="Evidence!A1" display="B" xr:uid="{6A6AD266-ECA5-4110-B8F6-6CA0A63A10E4}"/>
    <hyperlink ref="M63:M65" location="Evidence!A1" display="I" xr:uid="{24046F92-8978-4A7A-9271-B35D2F2211A3}"/>
    <hyperlink ref="N63:N65" location="Evidence!A1" display="B" xr:uid="{23D013C5-549D-4D15-85CE-63FE92A6C08C}"/>
    <hyperlink ref="M68:M70" location="Evidence!A1" display="I" xr:uid="{2775BBF8-360B-4DB4-ABAF-8A486AB19D4A}"/>
    <hyperlink ref="N68:N70" location="Evidence!A1" display="B" xr:uid="{D1FF7B42-B244-4B7D-ACA8-119364953EF3}"/>
  </hyperlinks>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Option Button 1">
              <controlPr defaultSize="0" autoFill="0" autoLine="0" autoPict="0">
                <anchor moveWithCells="1">
                  <from>
                    <xdr:col>4</xdr:col>
                    <xdr:colOff>501650</xdr:colOff>
                    <xdr:row>4</xdr:row>
                    <xdr:rowOff>88900</xdr:rowOff>
                  </from>
                  <to>
                    <xdr:col>5</xdr:col>
                    <xdr:colOff>412750</xdr:colOff>
                    <xdr:row>5</xdr:row>
                    <xdr:rowOff>133350</xdr:rowOff>
                  </to>
                </anchor>
              </controlPr>
            </control>
          </mc:Choice>
        </mc:AlternateContent>
        <mc:AlternateContent xmlns:mc="http://schemas.openxmlformats.org/markup-compatibility/2006">
          <mc:Choice Requires="x14">
            <control shapeId="30722" r:id="rId5" name="Option Button 2">
              <controlPr defaultSize="0" autoFill="0" autoLine="0" autoPict="0">
                <anchor moveWithCells="1">
                  <from>
                    <xdr:col>7</xdr:col>
                    <xdr:colOff>444500</xdr:colOff>
                    <xdr:row>4</xdr:row>
                    <xdr:rowOff>95250</xdr:rowOff>
                  </from>
                  <to>
                    <xdr:col>8</xdr:col>
                    <xdr:colOff>355600</xdr:colOff>
                    <xdr:row>5</xdr:row>
                    <xdr:rowOff>139700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183E-6C7F-4F61-ACC7-D175CB2E1A14}">
  <dimension ref="A1:O14"/>
  <sheetViews>
    <sheetView workbookViewId="0">
      <selection sqref="A1:O2"/>
    </sheetView>
  </sheetViews>
  <sheetFormatPr defaultRowHeight="14.5" x14ac:dyDescent="0.35"/>
  <cols>
    <col min="1" max="16384" width="8.7265625" style="1"/>
  </cols>
  <sheetData>
    <row r="1" spans="1:15" x14ac:dyDescent="0.35">
      <c r="A1" s="186" t="s">
        <v>595</v>
      </c>
      <c r="B1" s="186"/>
      <c r="C1" s="186"/>
      <c r="D1" s="186"/>
      <c r="E1" s="186"/>
      <c r="F1" s="186"/>
      <c r="G1" s="186"/>
      <c r="H1" s="186"/>
      <c r="I1" s="186"/>
      <c r="J1" s="186"/>
      <c r="K1" s="186"/>
      <c r="L1" s="186"/>
      <c r="M1" s="186"/>
      <c r="N1" s="186"/>
      <c r="O1" s="186"/>
    </row>
    <row r="2" spans="1:15" x14ac:dyDescent="0.35">
      <c r="A2" s="186"/>
      <c r="B2" s="186"/>
      <c r="C2" s="186"/>
      <c r="D2" s="186"/>
      <c r="E2" s="186"/>
      <c r="F2" s="186"/>
      <c r="G2" s="186"/>
      <c r="H2" s="186"/>
      <c r="I2" s="186"/>
      <c r="J2" s="186"/>
      <c r="K2" s="186"/>
      <c r="L2" s="186"/>
      <c r="M2" s="186"/>
      <c r="N2" s="186"/>
      <c r="O2" s="186"/>
    </row>
    <row r="4" spans="1:15" x14ac:dyDescent="0.35">
      <c r="A4" s="106" t="s">
        <v>596</v>
      </c>
      <c r="B4" s="107"/>
      <c r="C4" s="107"/>
      <c r="D4" s="107"/>
      <c r="E4" s="107"/>
      <c r="F4" s="107"/>
      <c r="G4" s="107"/>
      <c r="H4" s="107"/>
      <c r="I4" s="107"/>
      <c r="J4" s="107"/>
      <c r="K4" s="107"/>
      <c r="L4" s="108"/>
      <c r="M4" s="100" t="s">
        <v>208</v>
      </c>
      <c r="N4" s="101" t="s">
        <v>67</v>
      </c>
    </row>
    <row r="5" spans="1:15" x14ac:dyDescent="0.35">
      <c r="A5" s="109"/>
      <c r="B5" s="110"/>
      <c r="C5" s="110"/>
      <c r="D5" s="110"/>
      <c r="E5" s="110"/>
      <c r="F5" s="110"/>
      <c r="G5" s="110"/>
      <c r="H5" s="110"/>
      <c r="I5" s="110"/>
      <c r="J5" s="110"/>
      <c r="K5" s="110"/>
      <c r="L5" s="111"/>
      <c r="M5" s="100"/>
      <c r="N5" s="101"/>
    </row>
    <row r="6" spans="1:15" x14ac:dyDescent="0.35">
      <c r="A6" s="112"/>
      <c r="B6" s="113"/>
      <c r="C6" s="113"/>
      <c r="D6" s="113"/>
      <c r="E6" s="113"/>
      <c r="F6" s="113"/>
      <c r="G6" s="113"/>
      <c r="H6" s="113"/>
      <c r="I6" s="113"/>
      <c r="J6" s="113"/>
      <c r="K6" s="113"/>
      <c r="L6" s="114"/>
      <c r="M6" s="100"/>
      <c r="N6" s="101"/>
    </row>
    <row r="7" spans="1:15" x14ac:dyDescent="0.35">
      <c r="A7" s="106" t="s">
        <v>597</v>
      </c>
      <c r="B7" s="107"/>
      <c r="C7" s="107"/>
      <c r="D7" s="107"/>
      <c r="E7" s="107"/>
      <c r="F7" s="107"/>
      <c r="G7" s="107"/>
      <c r="H7" s="107"/>
      <c r="I7" s="107"/>
      <c r="J7" s="107"/>
      <c r="K7" s="107"/>
      <c r="L7" s="108"/>
      <c r="M7" s="100" t="s">
        <v>208</v>
      </c>
      <c r="N7" s="101" t="s">
        <v>67</v>
      </c>
    </row>
    <row r="8" spans="1:15" x14ac:dyDescent="0.35">
      <c r="A8" s="109"/>
      <c r="B8" s="110"/>
      <c r="C8" s="110"/>
      <c r="D8" s="110"/>
      <c r="E8" s="110"/>
      <c r="F8" s="110"/>
      <c r="G8" s="110"/>
      <c r="H8" s="110"/>
      <c r="I8" s="110"/>
      <c r="J8" s="110"/>
      <c r="K8" s="110"/>
      <c r="L8" s="111"/>
      <c r="M8" s="100"/>
      <c r="N8" s="101"/>
    </row>
    <row r="9" spans="1:15" x14ac:dyDescent="0.35">
      <c r="A9" s="112"/>
      <c r="B9" s="113"/>
      <c r="C9" s="113"/>
      <c r="D9" s="113"/>
      <c r="E9" s="113"/>
      <c r="F9" s="113"/>
      <c r="G9" s="113"/>
      <c r="H9" s="113"/>
      <c r="I9" s="113"/>
      <c r="J9" s="113"/>
      <c r="K9" s="113"/>
      <c r="L9" s="114"/>
      <c r="M9" s="100"/>
      <c r="N9" s="101"/>
    </row>
    <row r="10" spans="1:15" x14ac:dyDescent="0.35">
      <c r="A10" s="106" t="s">
        <v>598</v>
      </c>
      <c r="B10" s="107"/>
      <c r="C10" s="107"/>
      <c r="D10" s="107"/>
      <c r="E10" s="107"/>
      <c r="F10" s="107"/>
      <c r="G10" s="107"/>
      <c r="H10" s="107"/>
      <c r="I10" s="107"/>
      <c r="J10" s="107"/>
      <c r="K10" s="107"/>
      <c r="L10" s="108"/>
      <c r="M10" s="105" t="s">
        <v>209</v>
      </c>
      <c r="N10" s="101" t="s">
        <v>67</v>
      </c>
    </row>
    <row r="11" spans="1:15" x14ac:dyDescent="0.35">
      <c r="A11" s="109"/>
      <c r="B11" s="110"/>
      <c r="C11" s="110"/>
      <c r="D11" s="110"/>
      <c r="E11" s="110"/>
      <c r="F11" s="110"/>
      <c r="G11" s="110"/>
      <c r="H11" s="110"/>
      <c r="I11" s="110"/>
      <c r="J11" s="110"/>
      <c r="K11" s="110"/>
      <c r="L11" s="111"/>
      <c r="M11" s="105"/>
      <c r="N11" s="101"/>
    </row>
    <row r="12" spans="1:15" x14ac:dyDescent="0.35">
      <c r="A12" s="112"/>
      <c r="B12" s="113"/>
      <c r="C12" s="113"/>
      <c r="D12" s="113"/>
      <c r="E12" s="113"/>
      <c r="F12" s="113"/>
      <c r="G12" s="113"/>
      <c r="H12" s="113"/>
      <c r="I12" s="113"/>
      <c r="J12" s="113"/>
      <c r="K12" s="113"/>
      <c r="L12" s="114"/>
      <c r="M12" s="105"/>
      <c r="N12" s="101"/>
    </row>
    <row r="14" spans="1:15" x14ac:dyDescent="0.35">
      <c r="H14" s="197" t="s">
        <v>599</v>
      </c>
      <c r="I14" s="197"/>
      <c r="J14" s="197"/>
      <c r="K14" s="197"/>
      <c r="L14" s="197"/>
      <c r="M14" s="197"/>
      <c r="N14" s="197"/>
      <c r="O14" s="197"/>
    </row>
  </sheetData>
  <sheetProtection algorithmName="SHA-512" hashValue="QoWL1RCjgEKQiKDjjHFN3R6LMmtrRTc6GHkg9JuEe8bmdc1rAvEFkpKWJPoPxVD/Lyud4kORShA4nszarNBLnw==" saltValue="m/ZxrL5ItX0zQign1vxiTg==" spinCount="100000" sheet="1" objects="1" scenarios="1"/>
  <mergeCells count="11">
    <mergeCell ref="A10:L12"/>
    <mergeCell ref="M10:M12"/>
    <mergeCell ref="N10:N12"/>
    <mergeCell ref="H14:O14"/>
    <mergeCell ref="A1:O2"/>
    <mergeCell ref="A4:L6"/>
    <mergeCell ref="M4:M6"/>
    <mergeCell ref="N4:N6"/>
    <mergeCell ref="A7:L9"/>
    <mergeCell ref="M7:M9"/>
    <mergeCell ref="N7:N9"/>
  </mergeCells>
  <hyperlinks>
    <hyperlink ref="A1:N2" location="Main!A1" display="თირკმლების ქრონიკული დაავადება და შაქრიანი დიაბეტი" xr:uid="{F961950D-D373-4A4B-AFD6-61B78BB33E13}"/>
    <hyperlink ref="M4:M6" location="Evidence!A1" display="I" xr:uid="{8840CCE2-01A6-4DBB-A330-51488FEE1E9B}"/>
    <hyperlink ref="N4:N6" location="Evidence!A1" display="B" xr:uid="{5A8448E6-9400-4EBA-9983-28110DC5452D}"/>
    <hyperlink ref="M7:M9" location="Evidence!A1" display="I" xr:uid="{FD47F96B-8AC4-41D0-80A1-6BDB3F7F9E6E}"/>
    <hyperlink ref="N7:N9" location="Evidence!A1" display="B" xr:uid="{C5C82C97-3962-4181-B5DF-BE10A29E97F7}"/>
    <hyperlink ref="M10:M12" location="Evidence!A1" display="I" xr:uid="{2D6F7AF7-0B8B-4692-B530-FB68F46C7CDF}"/>
    <hyperlink ref="N10:N12" location="Evidence!A1" display="B" xr:uid="{5C841B05-51CC-4738-9848-0C0D744C746B}"/>
    <hyperlink ref="H14" r:id="rId1" xr:uid="{7E65FA83-AA36-4B21-B594-591D9F927637}"/>
  </hyperlinks>
  <pageMargins left="0.7" right="0.7" top="0.75" bottom="0.75" header="0.3" footer="0.3"/>
  <pageSetup paperSize="9" orientation="landscape" horizontalDpi="4294967292"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19F8E-086C-4089-958E-ED89E5A5A151}">
  <sheetPr codeName="Sheet5"/>
  <dimension ref="A1:B17"/>
  <sheetViews>
    <sheetView workbookViewId="0">
      <selection activeCell="B13" sqref="B13"/>
    </sheetView>
  </sheetViews>
  <sheetFormatPr defaultRowHeight="14.5" x14ac:dyDescent="0.35"/>
  <cols>
    <col min="1" max="1" width="35.08984375" style="15" customWidth="1"/>
    <col min="2" max="2" width="19.7265625" style="15" customWidth="1"/>
  </cols>
  <sheetData>
    <row r="1" spans="1:2" ht="29" x14ac:dyDescent="0.35">
      <c r="A1" s="14" t="s">
        <v>32</v>
      </c>
      <c r="B1" s="14" t="s">
        <v>33</v>
      </c>
    </row>
    <row r="2" spans="1:2" x14ac:dyDescent="0.35">
      <c r="A2" s="15" t="s">
        <v>34</v>
      </c>
      <c r="B2" s="15" t="str">
        <f>'SCORE2-Diabetes'!O4</f>
        <v/>
      </c>
    </row>
    <row r="3" spans="1:2" x14ac:dyDescent="0.35">
      <c r="A3" s="15" t="s">
        <v>36</v>
      </c>
      <c r="B3" s="15" t="str">
        <f>'SCORE2-Diabetes'!O9</f>
        <v>Male</v>
      </c>
    </row>
    <row r="4" spans="1:2" x14ac:dyDescent="0.35">
      <c r="A4" s="16" t="s">
        <v>37</v>
      </c>
      <c r="B4" s="15">
        <f>'SCORE2-Diabetes'!F7</f>
        <v>0</v>
      </c>
    </row>
    <row r="5" spans="1:2" x14ac:dyDescent="0.35">
      <c r="A5" s="16" t="s">
        <v>38</v>
      </c>
      <c r="B5" s="15">
        <f>'SCORE2-Diabetes'!K10</f>
        <v>0</v>
      </c>
    </row>
    <row r="6" spans="1:2" x14ac:dyDescent="0.35">
      <c r="A6" s="16" t="s">
        <v>39</v>
      </c>
      <c r="B6" s="15" t="str">
        <f>'SCORE2-Diabetes'!P9</f>
        <v>yes</v>
      </c>
    </row>
    <row r="7" spans="1:2" x14ac:dyDescent="0.35">
      <c r="A7" s="16" t="s">
        <v>40</v>
      </c>
      <c r="B7" s="15">
        <f>'SCORE2-Diabetes'!H16</f>
        <v>0</v>
      </c>
    </row>
    <row r="8" spans="1:2" x14ac:dyDescent="0.35">
      <c r="A8" s="16" t="s">
        <v>41</v>
      </c>
      <c r="B8" s="15">
        <f>'SCORE2-Diabetes'!N14</f>
        <v>0</v>
      </c>
    </row>
    <row r="9" spans="1:2" x14ac:dyDescent="0.35">
      <c r="A9" s="16" t="s">
        <v>42</v>
      </c>
      <c r="B9" s="15">
        <f>'SCORE2-Diabetes'!N16</f>
        <v>0</v>
      </c>
    </row>
    <row r="10" spans="1:2" x14ac:dyDescent="0.35">
      <c r="A10" s="16" t="s">
        <v>43</v>
      </c>
      <c r="B10" s="15">
        <f>'SCORE2-Diabetes'!N18</f>
        <v>0</v>
      </c>
    </row>
    <row r="11" spans="1:2" x14ac:dyDescent="0.35">
      <c r="A11" s="16" t="s">
        <v>44</v>
      </c>
      <c r="B11" s="15">
        <f>'SCORE2-Diabetes'!D21</f>
        <v>0</v>
      </c>
    </row>
    <row r="12" spans="1:2" ht="15" thickBot="1" x14ac:dyDescent="0.4"/>
    <row r="13" spans="1:2" ht="15" thickBot="1" x14ac:dyDescent="0.4">
      <c r="A13" s="17" t="s">
        <v>45</v>
      </c>
      <c r="B13" s="18" t="e">
        <f>IF(AND(B3="Male",B2="Low risk region"),values!D14,IF(AND(B3="Male",B2="Moderate risk region"),values!D15,IF(AND(B3="Male",B2="High risk region"),values!D16,IF(AND(B3="Male",B2="Very high risk region"),values!D17,IF(AND(B3="Female",B2="Low risk region"),values!H14,IF(AND(B3="Female",B2="Moderate risk region"),values!H15,IF(AND(B3="Female",B2="High risk region"),values!H16, values!H17)))))))</f>
        <v>#NUM!</v>
      </c>
    </row>
    <row r="15" spans="1:2" x14ac:dyDescent="0.35">
      <c r="B15" s="19"/>
    </row>
    <row r="17" spans="2:2" x14ac:dyDescent="0.35">
      <c r="B17" s="20"/>
    </row>
  </sheetData>
  <sheetProtection algorithmName="SHA-512" hashValue="lvYikii/XxrK2bUUdUOTQZR/1k5Lj4kP+AQZnHtq3qelIYKYbTIntAklIiEUoArJ3Ir+C7lkU2GCHPqY7wFraw==" saltValue="TW9+/+sQf7aw51CaFp268Q==" spinCount="100000" sheet="1" objects="1" scenarios="1"/>
  <conditionalFormatting sqref="B13:B16">
    <cfRule type="colorScale" priority="1">
      <colorScale>
        <cfvo type="num" val="0"/>
        <cfvo type="num" val="19"/>
        <cfvo type="num" val="20"/>
        <color theme="9" tint="0.59996337778862885"/>
        <color rgb="FFFFEB84"/>
        <color rgb="FFF67275"/>
      </colorScale>
    </cfRule>
  </conditionalFormatting>
  <dataValidations count="10">
    <dataValidation type="decimal" allowBlank="1" showInputMessage="1" showErrorMessage="1" errorTitle="Invalid value:" error="Please enter a value between the displayed range" promptTitle="Valid values:" prompt="15 to 120 ml/min/1.73m^2" sqref="B11" xr:uid="{BAB84003-48DF-4600-8324-F35C04762997}">
      <formula1>15</formula1>
      <formula2>120</formula2>
    </dataValidation>
    <dataValidation type="decimal" allowBlank="1" showInputMessage="1" showErrorMessage="1" errorTitle="Invalid value:" error="Please enter a value between the displayed range" promptTitle="Valid values:" prompt="1 to 150 mmol/mol" sqref="B10" xr:uid="{1B507E9D-0A28-4558-81FB-170D6F634252}">
      <formula1>1</formula1>
      <formula2>150</formula2>
    </dataValidation>
    <dataValidation type="decimal" allowBlank="1" showInputMessage="1" showErrorMessage="1" errorTitle="Invalid value:" error="Please enter a value between the displayed range" promptTitle="Valid values:" prompt="0.5 to 3 mmol/L" sqref="B9" xr:uid="{62254C86-E09A-4AA8-B347-0AECEC17D92A}">
      <formula1>0.5</formula1>
      <formula2>3</formula2>
    </dataValidation>
    <dataValidation type="decimal" allowBlank="1" showInputMessage="1" showErrorMessage="1" errorTitle="Invalid value:" error="Please enter a value between the displayed range" promptTitle="Valid values" prompt="3 to 10 mmol/L" sqref="B8" xr:uid="{D6738C48-48F2-4BA1-8332-FE8C1780C8E5}">
      <formula1>3</formula1>
      <formula2>10</formula2>
    </dataValidation>
    <dataValidation type="decimal" allowBlank="1" showInputMessage="1" showErrorMessage="1" errorTitle="Invalid value:" error="Please enter a value between the displayed range" promptTitle="Valid values:" prompt="100 to 200 mmHg" sqref="B7" xr:uid="{E787F513-2D9D-475F-8504-5DB0D00184E2}">
      <formula1>100</formula1>
      <formula2>200</formula2>
    </dataValidation>
    <dataValidation type="decimal" allowBlank="1" showInputMessage="1" showErrorMessage="1" errorTitle="Invalid value:" error="Please enter a value between the displayed range" promptTitle="Valid values:" prompt="30 years to current age" sqref="B5" xr:uid="{24B17B4C-9520-4B82-A64A-80929F999F67}">
      <formula1>30</formula1>
      <formula2>B4</formula2>
    </dataValidation>
    <dataValidation type="whole" allowBlank="1" showInputMessage="1" showErrorMessage="1" errorTitle="Invalid value:" error="Please enter a value between the displayed range" promptTitle="Valid values:" prompt="40 to 69 years" sqref="B4" xr:uid="{6FE60E40-8D45-447C-B2A6-60F80DD4E687}">
      <formula1>40</formula1>
      <formula2>69</formula2>
    </dataValidation>
    <dataValidation type="list" allowBlank="1" showInputMessage="1" showErrorMessage="1" sqref="B6" xr:uid="{ACEA9E25-CCC0-4D33-BAC7-6AF1772EE617}">
      <formula1>"yes, no"</formula1>
    </dataValidation>
    <dataValidation type="list" allowBlank="1" showInputMessage="1" showErrorMessage="1" sqref="B3" xr:uid="{EC78871E-43BA-4D09-ACC1-42685133E89B}">
      <formula1>"Male, Female"</formula1>
    </dataValidation>
    <dataValidation type="list" showInputMessage="1" showErrorMessage="1" sqref="B2" xr:uid="{BB8E9126-DB4C-4C0B-9B37-DC1835BEF53C}">
      <formula1>"Low risk region, Moderate risk region, High risk region, Very high risk region"</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C5AD1-2A9C-4B5F-BFCC-DCF92A6F6638}">
  <sheetPr codeName="Sheet6"/>
  <dimension ref="A1:K17"/>
  <sheetViews>
    <sheetView workbookViewId="0">
      <selection activeCell="H34" sqref="H34"/>
    </sheetView>
  </sheetViews>
  <sheetFormatPr defaultRowHeight="14.5" x14ac:dyDescent="0.35"/>
  <cols>
    <col min="1" max="1" width="25.26953125" style="23" customWidth="1"/>
    <col min="2" max="3" width="9.08984375" style="23"/>
    <col min="4" max="4" width="10.7265625" style="23" customWidth="1"/>
    <col min="5" max="7" width="9.08984375" style="23"/>
    <col min="8" max="8" width="12.08984375" style="23" customWidth="1"/>
    <col min="9" max="11" width="9" style="23"/>
  </cols>
  <sheetData>
    <row r="1" spans="1:11" ht="26" x14ac:dyDescent="0.35">
      <c r="A1" s="21"/>
      <c r="B1" s="22" t="s">
        <v>46</v>
      </c>
      <c r="C1" s="22" t="s">
        <v>47</v>
      </c>
      <c r="D1" s="22" t="s">
        <v>48</v>
      </c>
      <c r="E1" s="198" t="s">
        <v>49</v>
      </c>
      <c r="F1" s="198"/>
      <c r="G1" s="198"/>
      <c r="H1" s="22" t="s">
        <v>50</v>
      </c>
      <c r="I1" s="198" t="s">
        <v>51</v>
      </c>
      <c r="J1" s="198"/>
      <c r="K1" s="198"/>
    </row>
    <row r="2" spans="1:11" x14ac:dyDescent="0.35">
      <c r="B2" s="24"/>
      <c r="C2" s="24"/>
      <c r="D2" s="24"/>
      <c r="E2" s="23" t="s">
        <v>52</v>
      </c>
      <c r="F2" s="23" t="s">
        <v>53</v>
      </c>
      <c r="G2" s="21" t="s">
        <v>54</v>
      </c>
      <c r="H2" s="21"/>
      <c r="I2" s="23" t="s">
        <v>55</v>
      </c>
      <c r="J2" s="23" t="s">
        <v>53</v>
      </c>
      <c r="K2" s="23" t="s">
        <v>54</v>
      </c>
    </row>
    <row r="3" spans="1:11" x14ac:dyDescent="0.35">
      <c r="A3" s="25" t="s">
        <v>56</v>
      </c>
      <c r="B3" s="24"/>
      <c r="C3" s="24"/>
      <c r="D3" s="24"/>
      <c r="E3" s="26">
        <v>0.64570000000000005</v>
      </c>
      <c r="F3" s="26">
        <v>-9.8299999999999998E-2</v>
      </c>
      <c r="G3" s="26"/>
      <c r="H3" s="26"/>
      <c r="I3" s="27">
        <v>0.80959999999999999</v>
      </c>
      <c r="J3" s="27">
        <v>-0.12720000000000001</v>
      </c>
      <c r="K3" s="26"/>
    </row>
    <row r="4" spans="1:11" x14ac:dyDescent="0.35">
      <c r="A4" s="25" t="s">
        <v>37</v>
      </c>
      <c r="B4" s="24">
        <f>calculator!B4</f>
        <v>0</v>
      </c>
      <c r="C4" s="24">
        <f>(B4-60)/5</f>
        <v>-12</v>
      </c>
      <c r="D4" s="24">
        <f>E3+C4*F3+C4*E4</f>
        <v>-4.6163000000000007</v>
      </c>
      <c r="E4" s="26">
        <v>0.53680000000000005</v>
      </c>
      <c r="F4" s="26"/>
      <c r="G4" s="26"/>
      <c r="H4" s="24">
        <f>I3+C4*J3+C4*I4</f>
        <v>-5.6128</v>
      </c>
      <c r="I4" s="27">
        <v>0.66239999999999999</v>
      </c>
      <c r="J4" s="26"/>
      <c r="K4" s="26"/>
    </row>
    <row r="5" spans="1:11" x14ac:dyDescent="0.35">
      <c r="A5" s="25" t="s">
        <v>38</v>
      </c>
      <c r="B5" s="24">
        <f>calculator!B5</f>
        <v>0</v>
      </c>
      <c r="C5" s="24">
        <f>(B5-50)/5</f>
        <v>-10</v>
      </c>
      <c r="D5" s="24">
        <f>C5*E5</f>
        <v>0.998</v>
      </c>
      <c r="E5" s="26">
        <v>-9.98E-2</v>
      </c>
      <c r="F5" s="26">
        <v>0</v>
      </c>
      <c r="G5" s="26"/>
      <c r="H5" s="24">
        <f>C5*I5</f>
        <v>1.18</v>
      </c>
      <c r="I5" s="27">
        <v>-0.11799999999999999</v>
      </c>
      <c r="J5" s="26"/>
      <c r="K5" s="26"/>
    </row>
    <row r="6" spans="1:11" x14ac:dyDescent="0.35">
      <c r="A6" s="25" t="s">
        <v>57</v>
      </c>
      <c r="B6" s="24" t="str">
        <f>calculator!B6</f>
        <v>yes</v>
      </c>
      <c r="C6" s="24" t="str">
        <f>B6</f>
        <v>yes</v>
      </c>
      <c r="D6" s="24">
        <f>IF(B6="yes", E6+C4*F6, 0)</f>
        <v>1.2838000000000001</v>
      </c>
      <c r="E6" s="26">
        <v>0.47739999999999999</v>
      </c>
      <c r="F6" s="26">
        <v>-6.7199999999999996E-2</v>
      </c>
      <c r="G6" s="26"/>
      <c r="H6" s="24">
        <f>IF(C6="yes", I6+C4*J6, 0)</f>
        <v>1.9603000000000002</v>
      </c>
      <c r="I6" s="27">
        <v>0.6139</v>
      </c>
      <c r="J6" s="27">
        <v>-0.11219999999999999</v>
      </c>
      <c r="K6" s="26"/>
    </row>
    <row r="7" spans="1:11" x14ac:dyDescent="0.35">
      <c r="A7" s="25" t="s">
        <v>40</v>
      </c>
      <c r="B7" s="24">
        <f>calculator!B7</f>
        <v>0</v>
      </c>
      <c r="C7" s="24">
        <f>(B7-120)/20</f>
        <v>-6</v>
      </c>
      <c r="D7" s="24">
        <f>C7*E7+$C$4*C7*F7</f>
        <v>-2.7228000000000003</v>
      </c>
      <c r="E7" s="26">
        <v>0.13220000000000001</v>
      </c>
      <c r="F7" s="26">
        <v>-2.6800000000000001E-2</v>
      </c>
      <c r="G7" s="26"/>
      <c r="H7" s="24">
        <f>C7*I7+$C$4*C7*J7</f>
        <v>-2.0549999999999997</v>
      </c>
      <c r="I7" s="27">
        <v>0.1421</v>
      </c>
      <c r="J7" s="27">
        <v>-1.67E-2</v>
      </c>
      <c r="K7" s="26"/>
    </row>
    <row r="8" spans="1:11" x14ac:dyDescent="0.35">
      <c r="A8" s="25" t="s">
        <v>41</v>
      </c>
      <c r="B8" s="24">
        <f>calculator!B8</f>
        <v>0</v>
      </c>
      <c r="C8" s="24">
        <f>(B8-6)</f>
        <v>-6</v>
      </c>
      <c r="D8" s="24">
        <f>C8*E8+$C$4*C8*F8</f>
        <v>-1.9644000000000001</v>
      </c>
      <c r="E8" s="26">
        <v>0.11020000000000001</v>
      </c>
      <c r="F8" s="26">
        <v>-1.8100000000000002E-2</v>
      </c>
      <c r="G8" s="26"/>
      <c r="H8" s="24">
        <f>C8*I8+$C$4*C8*J8</f>
        <v>-2.1162000000000001</v>
      </c>
      <c r="I8" s="27">
        <v>0.11269999999999999</v>
      </c>
      <c r="J8" s="27">
        <v>-0.02</v>
      </c>
      <c r="K8" s="26"/>
    </row>
    <row r="9" spans="1:11" x14ac:dyDescent="0.35">
      <c r="A9" s="25" t="s">
        <v>42</v>
      </c>
      <c r="B9" s="24">
        <f>calculator!B9</f>
        <v>0</v>
      </c>
      <c r="C9" s="24">
        <f>(B9-1.3)/0.5</f>
        <v>-2.6</v>
      </c>
      <c r="D9" s="24">
        <f>C9*E9+$C$4*C9*F9</f>
        <v>0.57902000000000009</v>
      </c>
      <c r="E9" s="26">
        <v>-0.1087</v>
      </c>
      <c r="F9" s="26">
        <v>9.4999999999999998E-3</v>
      </c>
      <c r="G9" s="26"/>
      <c r="H9" s="24">
        <f>C9*I9+$C$4*C9*J9</f>
        <v>0.98799999999999999</v>
      </c>
      <c r="I9" s="27">
        <v>-0.15679999999999999</v>
      </c>
      <c r="J9" s="27">
        <v>1.8599999999999998E-2</v>
      </c>
      <c r="K9" s="26"/>
    </row>
    <row r="10" spans="1:11" x14ac:dyDescent="0.35">
      <c r="A10" s="25" t="s">
        <v>43</v>
      </c>
      <c r="B10" s="24">
        <f>calculator!B10</f>
        <v>0</v>
      </c>
      <c r="C10" s="24">
        <f>(B10-31)/9.34</f>
        <v>-3.3190578158458246</v>
      </c>
      <c r="D10" s="24">
        <f>C10*E10+$C$4*C10*F10</f>
        <v>-0.85067451820128492</v>
      </c>
      <c r="E10" s="26">
        <v>9.5500000000000002E-2</v>
      </c>
      <c r="F10" s="26">
        <v>-1.34E-2</v>
      </c>
      <c r="G10" s="26"/>
      <c r="H10" s="24">
        <f>C10*I10+$C$4*C10*J10</f>
        <v>-1.1699678800856532</v>
      </c>
      <c r="I10" s="27">
        <v>0.1173</v>
      </c>
      <c r="J10" s="27">
        <v>-1.9599999999999999E-2</v>
      </c>
      <c r="K10" s="26"/>
    </row>
    <row r="11" spans="1:11" x14ac:dyDescent="0.35">
      <c r="A11" s="25" t="s">
        <v>58</v>
      </c>
      <c r="B11" s="24">
        <f>calculator!B11</f>
        <v>0</v>
      </c>
      <c r="C11" s="24" t="e">
        <f>(LN(B11)-4.5)/0.15</f>
        <v>#NUM!</v>
      </c>
      <c r="D11" s="24" t="e">
        <f>C11*E11+C4*C11*F11+C11*C11*G11</f>
        <v>#NUM!</v>
      </c>
      <c r="E11" s="26">
        <v>-5.91E-2</v>
      </c>
      <c r="F11" s="26">
        <v>1.15E-2</v>
      </c>
      <c r="G11" s="26">
        <v>5.7999999999999996E-3</v>
      </c>
      <c r="H11" s="24" t="e">
        <f>C11*I11+C4*C11*J11+C11*C11*K11</f>
        <v>#NUM!</v>
      </c>
      <c r="I11" s="27">
        <v>-6.4000000000000001E-2</v>
      </c>
      <c r="J11" s="27">
        <v>1.6899999999999998E-2</v>
      </c>
      <c r="K11" s="26">
        <v>6.1999999999999998E-3</v>
      </c>
    </row>
    <row r="12" spans="1:11" x14ac:dyDescent="0.35">
      <c r="A12" s="25" t="s">
        <v>59</v>
      </c>
      <c r="D12" s="23" t="e">
        <f>SUM(D4:D11)</f>
        <v>#NUM!</v>
      </c>
      <c r="F12" s="27"/>
      <c r="H12" s="23" t="e">
        <f>SUM(H4:H11)</f>
        <v>#NUM!</v>
      </c>
    </row>
    <row r="13" spans="1:11" x14ac:dyDescent="0.35">
      <c r="A13" s="25" t="s">
        <v>60</v>
      </c>
      <c r="D13" s="23" t="e">
        <f>1-0.9605^EXP(D12)</f>
        <v>#NUM!</v>
      </c>
      <c r="H13" s="23" t="e">
        <f>1-0.9776^EXP(H12)</f>
        <v>#NUM!</v>
      </c>
    </row>
    <row r="14" spans="1:11" x14ac:dyDescent="0.35">
      <c r="A14" s="25" t="s">
        <v>61</v>
      </c>
      <c r="D14" s="23" t="e">
        <f>100*(1-EXP(-EXP(-0.5699+0.7476*LN(-LN(1-D13)))))</f>
        <v>#NUM!</v>
      </c>
      <c r="H14" s="23" t="e">
        <f>100*(1-EXP(-EXP(-0.738+0.7019*LN(-LN(1-H13)))))</f>
        <v>#NUM!</v>
      </c>
    </row>
    <row r="15" spans="1:11" x14ac:dyDescent="0.35">
      <c r="A15" s="25" t="s">
        <v>62</v>
      </c>
      <c r="D15" s="23" t="e">
        <f>100*(1-EXP(-EXP(-0.1565+0.8009*LN(-LN(1-D13)))))</f>
        <v>#NUM!</v>
      </c>
      <c r="H15" s="23" t="e">
        <f>100*(1-EXP(-EXP(-0.3143+0.7701*LN(-LN(1-H13)))))</f>
        <v>#NUM!</v>
      </c>
    </row>
    <row r="16" spans="1:11" x14ac:dyDescent="0.35">
      <c r="A16" s="25" t="s">
        <v>63</v>
      </c>
      <c r="D16" s="23" t="e">
        <f>100*(1-EXP(-EXP(0.3207+0.936*LN(-LN(1-D13)))))</f>
        <v>#NUM!</v>
      </c>
      <c r="H16" s="23" t="e">
        <f>100*(1-EXP(-EXP(0.571+0.9369*LN(-LN(1-H13)))))</f>
        <v>#NUM!</v>
      </c>
    </row>
    <row r="17" spans="1:8" x14ac:dyDescent="0.35">
      <c r="A17" s="25" t="s">
        <v>64</v>
      </c>
      <c r="D17" s="23" t="e">
        <f>100*(1-EXP(-EXP(0.5836+0.8294*LN(-LN(1-D13)))))</f>
        <v>#NUM!</v>
      </c>
      <c r="H17" s="23" t="e">
        <f>100*(1-EXP(-EXP(0.9412+0.8329*LN(-LN(1-H13)))))</f>
        <v>#NUM!</v>
      </c>
    </row>
  </sheetData>
  <mergeCells count="2">
    <mergeCell ref="E1:G1"/>
    <mergeCell ref="I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7357C-AD57-4B2D-BDA2-0AF9FA6E6481}">
  <sheetPr codeName="Sheet3"/>
  <dimension ref="A1:P10"/>
  <sheetViews>
    <sheetView zoomScale="150" zoomScaleNormal="150" workbookViewId="0">
      <selection sqref="A1:N2"/>
    </sheetView>
  </sheetViews>
  <sheetFormatPr defaultColWidth="9" defaultRowHeight="14.5" x14ac:dyDescent="0.35"/>
  <cols>
    <col min="1" max="14" width="9" style="2"/>
    <col min="15" max="16" width="9" style="5"/>
    <col min="17" max="16384" width="9" style="2"/>
  </cols>
  <sheetData>
    <row r="1" spans="1:16" x14ac:dyDescent="0.35">
      <c r="A1" s="92" t="s">
        <v>9</v>
      </c>
      <c r="B1" s="92"/>
      <c r="C1" s="92"/>
      <c r="D1" s="92"/>
      <c r="E1" s="92"/>
      <c r="F1" s="92"/>
      <c r="G1" s="92"/>
      <c r="H1" s="92"/>
      <c r="I1" s="92"/>
      <c r="J1" s="92"/>
      <c r="K1" s="92"/>
      <c r="L1" s="92"/>
      <c r="M1" s="92"/>
      <c r="N1" s="92"/>
    </row>
    <row r="2" spans="1:16" x14ac:dyDescent="0.35">
      <c r="A2" s="92"/>
      <c r="B2" s="92"/>
      <c r="C2" s="92"/>
      <c r="D2" s="92"/>
      <c r="E2" s="92"/>
      <c r="F2" s="92"/>
      <c r="G2" s="92"/>
      <c r="H2" s="92"/>
      <c r="I2" s="92"/>
      <c r="J2" s="92"/>
      <c r="K2" s="92"/>
      <c r="L2" s="92"/>
      <c r="M2" s="92"/>
      <c r="N2" s="92"/>
    </row>
    <row r="3" spans="1:16" x14ac:dyDescent="0.35">
      <c r="B3" s="4"/>
      <c r="O3" s="5" t="s">
        <v>0</v>
      </c>
      <c r="P3" s="5" t="s">
        <v>1</v>
      </c>
    </row>
    <row r="4" spans="1:16" x14ac:dyDescent="0.35">
      <c r="A4" s="2" t="s">
        <v>8</v>
      </c>
      <c r="B4" s="4">
        <v>1</v>
      </c>
      <c r="D4" s="93" t="str">
        <f>IF(B4=2,P3,IF(B4=3,P4,IF(B4=4,P5,IF(B4=5,P6,""))))</f>
        <v/>
      </c>
      <c r="E4" s="93"/>
      <c r="F4" s="93"/>
      <c r="G4" s="93"/>
      <c r="O4" s="5" t="s">
        <v>2</v>
      </c>
      <c r="P4" s="5" t="s">
        <v>3</v>
      </c>
    </row>
    <row r="5" spans="1:16" x14ac:dyDescent="0.35">
      <c r="O5" s="5" t="s">
        <v>4</v>
      </c>
      <c r="P5" s="5" t="s">
        <v>5</v>
      </c>
    </row>
    <row r="6" spans="1:16" x14ac:dyDescent="0.35">
      <c r="B6" s="4"/>
      <c r="O6" s="5" t="s">
        <v>6</v>
      </c>
      <c r="P6" s="5" t="s">
        <v>7</v>
      </c>
    </row>
    <row r="7" spans="1:16" x14ac:dyDescent="0.35">
      <c r="A7" s="2" t="s">
        <v>30</v>
      </c>
      <c r="B7" s="4">
        <v>1</v>
      </c>
      <c r="D7" s="2" t="str">
        <f>IF(B7=2,P8,IF(B7=3,P9,IF(B7=4,P10,"")))</f>
        <v/>
      </c>
    </row>
    <row r="8" spans="1:16" x14ac:dyDescent="0.35">
      <c r="O8" s="5" t="s">
        <v>10</v>
      </c>
      <c r="P8" s="5" t="s">
        <v>13</v>
      </c>
    </row>
    <row r="9" spans="1:16" x14ac:dyDescent="0.35">
      <c r="O9" s="5" t="s">
        <v>11</v>
      </c>
      <c r="P9" s="5" t="s">
        <v>14</v>
      </c>
    </row>
    <row r="10" spans="1:16" x14ac:dyDescent="0.35">
      <c r="O10" s="5" t="s">
        <v>12</v>
      </c>
      <c r="P10" s="5" t="s">
        <v>15</v>
      </c>
    </row>
  </sheetData>
  <sheetProtection algorithmName="SHA-512" hashValue="uih2O/7PfOBrV1q47S5P3uK4z84u0ipxxAb0dXh3Rapt+8XPfqr8+rP7TZaJ3LknfoZvs8D1w4YRHGWu3Ispxw==" saltValue="fgPASVn+oAps8/DnSjuDjQ==" spinCount="100000" sheet="1" objects="1" scenarios="1"/>
  <mergeCells count="2">
    <mergeCell ref="A1:N2"/>
    <mergeCell ref="D4:G4"/>
  </mergeCells>
  <conditionalFormatting sqref="D4:G4">
    <cfRule type="containsText" dxfId="76" priority="1" operator="containsText" text="არ არის">
      <formula>NOT(ISERROR(SEARCH("არ არის",D4)))</formula>
    </cfRule>
    <cfRule type="containsText" dxfId="75" priority="2" operator="containsText" text="შეიძლება">
      <formula>NOT(ISERROR(SEARCH("შეიძლება",D4)))</formula>
    </cfRule>
    <cfRule type="containsText" dxfId="74" priority="3" operator="containsText" text="უნდა">
      <formula>NOT(ISERROR(SEARCH("უნდა",D4)))</formula>
    </cfRule>
    <cfRule type="containsText" dxfId="73" priority="4" operator="containsText" text="რეკომენდებული">
      <formula>NOT(ISERROR(SEARCH("რეკომენდებული",D4)))</formula>
    </cfRule>
  </conditionalFormatting>
  <hyperlinks>
    <hyperlink ref="A1:N2" location="Main!A1" display="რეკომენდაციის კლასი" xr:uid="{DF1DD3ED-8601-45D7-8C2D-9325FD1763BB}"/>
  </hyperlinks>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0</xdr:col>
                    <xdr:colOff>666750</xdr:colOff>
                    <xdr:row>2</xdr:row>
                    <xdr:rowOff>184150</xdr:rowOff>
                  </from>
                  <to>
                    <xdr:col>2</xdr:col>
                    <xdr:colOff>279400</xdr:colOff>
                    <xdr:row>3</xdr:row>
                    <xdr:rowOff>190500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0</xdr:col>
                    <xdr:colOff>660400</xdr:colOff>
                    <xdr:row>6</xdr:row>
                    <xdr:rowOff>12700</xdr:rowOff>
                  </from>
                  <to>
                    <xdr:col>2</xdr:col>
                    <xdr:colOff>266700</xdr:colOff>
                    <xdr:row>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582C-1F18-4BB5-A6ED-7E687D901BA7}">
  <sheetPr codeName="Sheet4"/>
  <dimension ref="A1:Q28"/>
  <sheetViews>
    <sheetView zoomScaleNormal="100" workbookViewId="0">
      <selection sqref="A1:N2"/>
    </sheetView>
  </sheetViews>
  <sheetFormatPr defaultColWidth="9" defaultRowHeight="14.5" x14ac:dyDescent="0.35"/>
  <cols>
    <col min="1" max="14" width="9" style="2"/>
    <col min="15" max="17" width="9" style="5"/>
    <col min="18" max="16384" width="9" style="2"/>
  </cols>
  <sheetData>
    <row r="1" spans="1:17" x14ac:dyDescent="0.35">
      <c r="A1" s="92" t="s">
        <v>16</v>
      </c>
      <c r="B1" s="92"/>
      <c r="C1" s="92"/>
      <c r="D1" s="92"/>
      <c r="E1" s="92"/>
      <c r="F1" s="92"/>
      <c r="G1" s="92"/>
      <c r="H1" s="92"/>
      <c r="I1" s="92"/>
      <c r="J1" s="92"/>
      <c r="K1" s="92"/>
      <c r="L1" s="92"/>
      <c r="M1" s="92"/>
      <c r="N1" s="92"/>
    </row>
    <row r="2" spans="1:17" x14ac:dyDescent="0.35">
      <c r="A2" s="92"/>
      <c r="B2" s="92"/>
      <c r="C2" s="92"/>
      <c r="D2" s="92"/>
      <c r="E2" s="92"/>
      <c r="F2" s="92"/>
      <c r="G2" s="92"/>
      <c r="H2" s="92"/>
      <c r="I2" s="92"/>
      <c r="J2" s="92"/>
      <c r="K2" s="92"/>
      <c r="L2" s="92"/>
      <c r="M2" s="92"/>
      <c r="N2" s="92"/>
    </row>
    <row r="3" spans="1:17" x14ac:dyDescent="0.35">
      <c r="O3" s="13" t="b">
        <v>0</v>
      </c>
      <c r="P3" s="13" t="b">
        <v>0</v>
      </c>
      <c r="Q3" s="5" t="s">
        <v>19</v>
      </c>
    </row>
    <row r="5" spans="1:17" x14ac:dyDescent="0.35">
      <c r="O5" s="5" t="s">
        <v>17</v>
      </c>
    </row>
    <row r="6" spans="1:17" x14ac:dyDescent="0.35">
      <c r="O6" s="5" t="s">
        <v>18</v>
      </c>
    </row>
    <row r="7" spans="1:17" x14ac:dyDescent="0.35">
      <c r="O7" s="5" t="s">
        <v>21</v>
      </c>
    </row>
    <row r="8" spans="1:17" x14ac:dyDescent="0.35">
      <c r="O8" s="5" t="s">
        <v>23</v>
      </c>
    </row>
    <row r="9" spans="1:17" ht="15" customHeight="1" x14ac:dyDescent="0.35">
      <c r="A9" s="8"/>
      <c r="B9" s="9"/>
      <c r="C9" s="9"/>
      <c r="D9" s="9"/>
      <c r="E9" s="96" t="str">
        <f>IF(AND(O3,P3=FALSE),1,IF(AND(O3=FALSE,P3),1,""))</f>
        <v/>
      </c>
      <c r="F9" s="96"/>
      <c r="G9" s="96"/>
      <c r="H9" s="96"/>
      <c r="I9" s="96"/>
      <c r="O9" s="5" t="s">
        <v>20</v>
      </c>
    </row>
    <row r="10" spans="1:17" ht="15" customHeight="1" x14ac:dyDescent="0.35">
      <c r="B10" s="9"/>
      <c r="C10" s="9"/>
      <c r="D10" s="94" t="str">
        <f>IF(AND(O3,P3=FALSE),O5,IF(AND(O3=FALSE,P3),O12,""))</f>
        <v/>
      </c>
      <c r="E10" s="94"/>
      <c r="F10" s="94"/>
      <c r="G10" s="94"/>
      <c r="H10" s="94"/>
      <c r="I10" s="94"/>
      <c r="J10" s="94"/>
      <c r="O10" s="5" t="s">
        <v>22</v>
      </c>
    </row>
    <row r="11" spans="1:17" ht="15" customHeight="1" x14ac:dyDescent="0.35">
      <c r="D11" s="94"/>
      <c r="E11" s="94"/>
      <c r="F11" s="94"/>
      <c r="G11" s="94"/>
      <c r="H11" s="94"/>
      <c r="I11" s="94"/>
      <c r="J11" s="94"/>
      <c r="O11" s="5" t="s">
        <v>24</v>
      </c>
    </row>
    <row r="12" spans="1:17" x14ac:dyDescent="0.35">
      <c r="D12" s="94"/>
      <c r="E12" s="94"/>
      <c r="F12" s="94"/>
      <c r="G12" s="94"/>
      <c r="H12" s="94"/>
      <c r="I12" s="94"/>
      <c r="J12" s="94"/>
      <c r="O12" s="5" t="s">
        <v>25</v>
      </c>
    </row>
    <row r="13" spans="1:17" x14ac:dyDescent="0.35">
      <c r="D13" s="11" t="str">
        <f>IF(AND(O3,P3=FALSE),1,IF(AND(O3=FALSE,P3),1,""))</f>
        <v/>
      </c>
      <c r="J13" s="12" t="str">
        <f>IF(AND(O3,P3=FALSE),1,IF(AND(O3=FALSE,P3),1,""))</f>
        <v/>
      </c>
      <c r="O13" s="5" t="s">
        <v>26</v>
      </c>
    </row>
    <row r="14" spans="1:17" ht="15" customHeight="1" x14ac:dyDescent="0.35">
      <c r="B14" s="95" t="str">
        <f>IF(AND(O3,P3=FALSE),O6,IF(AND(O3=FALSE,P3),O13,""))</f>
        <v/>
      </c>
      <c r="C14" s="95"/>
      <c r="D14" s="95"/>
      <c r="E14" s="95"/>
      <c r="I14" s="95" t="str">
        <f>IF(AND(O3,P3=FALSE),O7,IF(AND(O3=FALSE,P3),O14,""))</f>
        <v/>
      </c>
      <c r="J14" s="95"/>
      <c r="K14" s="95"/>
      <c r="L14" s="95"/>
      <c r="O14" s="5" t="s">
        <v>27</v>
      </c>
    </row>
    <row r="15" spans="1:17" x14ac:dyDescent="0.35">
      <c r="B15" s="95"/>
      <c r="C15" s="95"/>
      <c r="D15" s="95"/>
      <c r="E15" s="95"/>
      <c r="I15" s="95"/>
      <c r="J15" s="95"/>
      <c r="K15" s="95"/>
      <c r="L15" s="95"/>
      <c r="O15" s="5" t="s">
        <v>28</v>
      </c>
    </row>
    <row r="16" spans="1:17" x14ac:dyDescent="0.35">
      <c r="B16" s="95"/>
      <c r="C16" s="95"/>
      <c r="D16" s="95"/>
      <c r="E16" s="95"/>
      <c r="I16" s="95"/>
      <c r="J16" s="95"/>
      <c r="K16" s="95"/>
      <c r="L16" s="95"/>
      <c r="O16" s="5" t="s">
        <v>29</v>
      </c>
    </row>
    <row r="17" spans="2:16" x14ac:dyDescent="0.35">
      <c r="C17" s="98" t="str">
        <f>IF(AND(O3,P3=FALSE),"↓",IF(AND(O3=FALSE,P3),"↓",""))</f>
        <v/>
      </c>
      <c r="D17" s="98"/>
      <c r="J17" s="98" t="str">
        <f>IF(AND(O3,P3=FALSE),"↓",IF(AND(O3=FALSE,P3),"↓",""))</f>
        <v/>
      </c>
      <c r="K17" s="98"/>
      <c r="O17" s="5" t="s">
        <v>0</v>
      </c>
    </row>
    <row r="18" spans="2:16" x14ac:dyDescent="0.35">
      <c r="C18" s="98"/>
      <c r="D18" s="98"/>
      <c r="J18" s="98"/>
      <c r="K18" s="98"/>
    </row>
    <row r="19" spans="2:16" x14ac:dyDescent="0.35">
      <c r="B19" s="95" t="str">
        <f>IF(AND(O3,P3=FALSE),O8,IF(AND(O3=FALSE,P3),O10,""))</f>
        <v/>
      </c>
      <c r="C19" s="95"/>
      <c r="D19" s="95"/>
      <c r="E19" s="95"/>
      <c r="I19" s="95" t="str">
        <f>IF(AND(O3,P3=FALSE),O10,IF(AND(O3=FALSE,P3),O15,""))</f>
        <v/>
      </c>
      <c r="J19" s="95"/>
      <c r="K19" s="95"/>
      <c r="L19" s="95"/>
    </row>
    <row r="20" spans="2:16" x14ac:dyDescent="0.35">
      <c r="B20" s="95"/>
      <c r="C20" s="95"/>
      <c r="D20" s="95"/>
      <c r="E20" s="95"/>
      <c r="I20" s="95"/>
      <c r="J20" s="95"/>
      <c r="K20" s="95"/>
      <c r="L20" s="95"/>
    </row>
    <row r="21" spans="2:16" x14ac:dyDescent="0.35">
      <c r="B21" s="95"/>
      <c r="C21" s="95"/>
      <c r="D21" s="95"/>
      <c r="E21" s="95"/>
      <c r="I21" s="95"/>
      <c r="J21" s="95"/>
      <c r="K21" s="95"/>
      <c r="L21" s="95"/>
    </row>
    <row r="22" spans="2:16" x14ac:dyDescent="0.35">
      <c r="B22" s="95"/>
      <c r="C22" s="95"/>
      <c r="D22" s="95"/>
      <c r="E22" s="95"/>
      <c r="I22" s="95"/>
      <c r="J22" s="95"/>
      <c r="K22" s="95"/>
      <c r="L22" s="95"/>
    </row>
    <row r="23" spans="2:16" ht="15" customHeight="1" x14ac:dyDescent="0.35">
      <c r="B23" s="95" t="str">
        <f>IF(AND(O3,P3=FALSE),O9,IF(AND(O3=FALSE,P3),O11,""))</f>
        <v/>
      </c>
      <c r="C23" s="95"/>
      <c r="D23" s="95"/>
      <c r="E23" s="95"/>
      <c r="I23" s="95" t="str">
        <f>IF(AND(O3,P3=FALSE),O11,IF(AND(O3=FALSE,P3),O16,""))</f>
        <v/>
      </c>
      <c r="J23" s="95"/>
      <c r="K23" s="95"/>
      <c r="L23" s="95"/>
      <c r="P23" s="5">
        <v>5</v>
      </c>
    </row>
    <row r="24" spans="2:16" x14ac:dyDescent="0.35">
      <c r="B24" s="95"/>
      <c r="C24" s="95"/>
      <c r="D24" s="95"/>
      <c r="E24" s="95"/>
      <c r="I24" s="95"/>
      <c r="J24" s="95"/>
      <c r="K24" s="95"/>
      <c r="L24" s="95"/>
    </row>
    <row r="25" spans="2:16" x14ac:dyDescent="0.35">
      <c r="B25" s="95"/>
      <c r="C25" s="95"/>
      <c r="D25" s="95"/>
      <c r="E25" s="95"/>
      <c r="I25" s="95"/>
      <c r="J25" s="95"/>
      <c r="K25" s="95"/>
      <c r="L25" s="95"/>
    </row>
    <row r="26" spans="2:16" x14ac:dyDescent="0.35">
      <c r="B26" s="95"/>
      <c r="C26" s="95"/>
      <c r="D26" s="95"/>
      <c r="E26" s="95"/>
      <c r="I26" s="95"/>
      <c r="J26" s="95"/>
      <c r="K26" s="95"/>
      <c r="L26" s="95"/>
    </row>
    <row r="27" spans="2:16" x14ac:dyDescent="0.35">
      <c r="B27" s="95"/>
      <c r="C27" s="95"/>
      <c r="D27" s="95"/>
      <c r="E27" s="95"/>
      <c r="I27" s="95"/>
      <c r="J27" s="95"/>
      <c r="K27" s="95"/>
      <c r="L27" s="95"/>
    </row>
    <row r="28" spans="2:16" x14ac:dyDescent="0.35">
      <c r="B28" s="97" t="str">
        <f>IF(AND(O3,P3=FALSE),O17,IF(AND(O3=FALSE,P3),O17,""))</f>
        <v/>
      </c>
      <c r="C28" s="97"/>
      <c r="D28" s="97"/>
      <c r="E28" s="97"/>
      <c r="I28" s="97" t="str">
        <f>IF(AND(O3,P3=FALSE),O17,IF(AND(O3=FALSE,P3),O17,""))</f>
        <v/>
      </c>
      <c r="J28" s="97"/>
      <c r="K28" s="97"/>
      <c r="L28" s="97"/>
    </row>
  </sheetData>
  <sheetProtection algorithmName="SHA-512" hashValue="AxPX0CvRaOO4jYdxDGhbqHS7SqIrAb2eq2RjDNsI7axVg3JU8JL+Te4OMfO31Ld77qERTbcqXbOYEVJvvj1zRA==" saltValue="/TDopXTzNgbzksaDkysDEw==" spinCount="100000" sheet="1" objects="1" scenarios="1"/>
  <mergeCells count="13">
    <mergeCell ref="B28:E28"/>
    <mergeCell ref="I28:L28"/>
    <mergeCell ref="C17:D18"/>
    <mergeCell ref="J17:K18"/>
    <mergeCell ref="B19:E22"/>
    <mergeCell ref="I19:L22"/>
    <mergeCell ref="B23:E27"/>
    <mergeCell ref="I23:L27"/>
    <mergeCell ref="D10:J12"/>
    <mergeCell ref="B14:E16"/>
    <mergeCell ref="I14:L16"/>
    <mergeCell ref="A1:N2"/>
    <mergeCell ref="E9:I9"/>
  </mergeCells>
  <conditionalFormatting sqref="B23">
    <cfRule type="containsText" dxfId="72" priority="7" operator="containsText" text="GLP-1 RA">
      <formula>NOT(ISERROR(SEARCH("GLP-1 RA",B23)))</formula>
    </cfRule>
  </conditionalFormatting>
  <conditionalFormatting sqref="B19:E22">
    <cfRule type="containsText" dxfId="71" priority="3" operator="containsText" text="ჰოსპიტალიზაციის">
      <formula>NOT(ISERROR(SEARCH("ჰოსპიტალიზაციის",B19)))</formula>
    </cfRule>
    <cfRule type="containsText" dxfId="70" priority="6" operator="containsText" text="მიუხედავად">
      <formula>NOT(ISERROR(SEARCH("მიუხედავად",B19)))</formula>
    </cfRule>
  </conditionalFormatting>
  <conditionalFormatting sqref="B23:E27">
    <cfRule type="containsText" dxfId="69" priority="2" operator="containsText" text="SGLT2i">
      <formula>NOT(ISERROR(SEARCH("SGLT2i",B23)))</formula>
    </cfRule>
  </conditionalFormatting>
  <conditionalFormatting sqref="D13">
    <cfRule type="cellIs" dxfId="68" priority="9" operator="equal">
      <formula>1</formula>
    </cfRule>
  </conditionalFormatting>
  <conditionalFormatting sqref="D10:J12">
    <cfRule type="notContainsBlanks" dxfId="67" priority="11">
      <formula>LEN(TRIM(D10))&gt;0</formula>
    </cfRule>
  </conditionalFormatting>
  <conditionalFormatting sqref="E9:I9">
    <cfRule type="cellIs" dxfId="66" priority="13" operator="equal">
      <formula>1</formula>
    </cfRule>
  </conditionalFormatting>
  <conditionalFormatting sqref="I23">
    <cfRule type="containsText" dxfId="65" priority="4" operator="containsText" text="SGLT2i">
      <formula>NOT(ISERROR(SEARCH("SGLT2i",I23)))</formula>
    </cfRule>
  </conditionalFormatting>
  <conditionalFormatting sqref="I19:L22">
    <cfRule type="containsText" dxfId="64" priority="1" operator="containsText" text="თირკმლების">
      <formula>NOT(ISERROR(SEARCH("თირკმლების",I19)))</formula>
    </cfRule>
    <cfRule type="containsText" dxfId="63" priority="5" operator="containsText" text="ჰოსპიტალიზაციის">
      <formula>NOT(ISERROR(SEARCH("ჰოსპიტალიზაციის",I19)))</formula>
    </cfRule>
  </conditionalFormatting>
  <conditionalFormatting sqref="J13">
    <cfRule type="cellIs" dxfId="62" priority="8" operator="equal">
      <formula>1</formula>
    </cfRule>
  </conditionalFormatting>
  <hyperlinks>
    <hyperlink ref="A1:N2" location="Main!A1" display="კლინიკური მიდგომა და საკვანძო რეკომენდაციები" xr:uid="{0348C0FD-53D8-4B27-8673-6D79D2F64B69}"/>
    <hyperlink ref="B28:E28" location="Evidence!A1" display="Evidence!A1" xr:uid="{FE6D9A01-755E-44A4-95B2-02A970D85E6C}"/>
    <hyperlink ref="I28:L28" location="Evidence!A1" display="Evidence!A1" xr:uid="{15586018-0380-4EF0-8352-65B121E52CC9}"/>
  </hyperlinks>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400050</xdr:colOff>
                    <xdr:row>2</xdr:row>
                    <xdr:rowOff>152400</xdr:rowOff>
                  </from>
                  <to>
                    <xdr:col>5</xdr:col>
                    <xdr:colOff>76200</xdr:colOff>
                    <xdr:row>7</xdr:row>
                    <xdr:rowOff>69850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6</xdr:col>
                    <xdr:colOff>76200</xdr:colOff>
                    <xdr:row>2</xdr:row>
                    <xdr:rowOff>171450</xdr:rowOff>
                  </from>
                  <to>
                    <xdr:col>10</xdr:col>
                    <xdr:colOff>565150</xdr:colOff>
                    <xdr:row>7</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21DB-D273-4D3B-A241-697DFD510A96}">
  <sheetPr codeName="Sheet1"/>
  <dimension ref="A1:AD291"/>
  <sheetViews>
    <sheetView workbookViewId="0">
      <selection sqref="A1:L2"/>
    </sheetView>
  </sheetViews>
  <sheetFormatPr defaultColWidth="9" defaultRowHeight="14.5" x14ac:dyDescent="0.35"/>
  <cols>
    <col min="1" max="14" width="9" style="2"/>
    <col min="15" max="30" width="9" style="5"/>
    <col min="31" max="16384" width="9" style="2"/>
  </cols>
  <sheetData>
    <row r="1" spans="1:21" x14ac:dyDescent="0.35">
      <c r="A1" s="202" t="s">
        <v>68</v>
      </c>
      <c r="B1" s="202"/>
      <c r="C1" s="202"/>
      <c r="D1" s="202"/>
      <c r="E1" s="202"/>
      <c r="F1" s="202"/>
      <c r="G1" s="202"/>
      <c r="H1" s="202"/>
      <c r="I1" s="202"/>
      <c r="J1" s="202"/>
      <c r="K1" s="202"/>
      <c r="L1" s="202"/>
    </row>
    <row r="2" spans="1:21" x14ac:dyDescent="0.35">
      <c r="A2" s="202"/>
      <c r="B2" s="202"/>
      <c r="C2" s="202"/>
      <c r="D2" s="202"/>
      <c r="E2" s="202"/>
      <c r="F2" s="202"/>
      <c r="G2" s="202"/>
      <c r="H2" s="202"/>
      <c r="I2" s="202"/>
      <c r="J2" s="202"/>
      <c r="K2" s="202"/>
      <c r="L2" s="202"/>
    </row>
    <row r="3" spans="1:21" x14ac:dyDescent="0.35">
      <c r="G3" s="4"/>
    </row>
    <row r="4" spans="1:21" x14ac:dyDescent="0.35">
      <c r="A4" s="2" t="s">
        <v>71</v>
      </c>
      <c r="G4" s="4">
        <v>1</v>
      </c>
      <c r="I4" s="93" t="str">
        <f>IF(G4=2,R24,IF(G4=3,R25,IF(G4=4,R26,IF(G4=5,R27,IF(G4=6,R28,IF(G4=7,R29,IF(G4=8,R30,IF(G4=9,R31,IF(G4=10,R32,IF(G4=11,R33,IF(G4=12,R34,IF(G4=13,R35,IF(G4=14,R36,IF(G4=15,R37,IF(G4=16,R38,IF(G4=17,R39,IF(G4=18,R40,IF(G4=19,R41,IF(G4=20,R42,IF(G4=21,R43,IF(G4=22,R44,IF(G4=23,R45,IF(G4=24,R46,IF(G4=25,R47,IF(G4=26,R48,IF(G4=27,R49,IF(G4=28,R50,IF(G4=29,R51,IF(G4=30,R52,IF(G4=31,R53,IF(G4=32,R54,IF(G4=33,R55,IF(G4=34,R56,IF(G4=35,R57,IF(G4=36,R58,IF(G4=37,R59,IF(G4=38,R60,IF(G4=39,R61,IF(G4=40,R62,IF(G4=41,R63,IF(G4=42,R64,IF(G4=43,R65,IF(G4=44,R66,IF(G4=45,R67,IF(G4=46,R68,IF(G4=47,R69,IF(G4=48,R70,IF(G4=49,R71,IF(G4=50,R72,IF(G4=51,R73,IF(G4=52,R74,IF(G4=53,R75,IF(G4=54,R76,IF(G4=55,R77,IF(G4=56,R78,"")))))))))))))))))))))))))))))))))))))))))))))))))))))))</f>
        <v/>
      </c>
      <c r="J4" s="93"/>
      <c r="K4" s="93"/>
      <c r="L4" s="93"/>
      <c r="M4" s="7"/>
      <c r="N4" s="7"/>
      <c r="O4" s="5" t="str">
        <f>IF(I4="დაბალი რისკის რეგიონი",R4,IF(I4="ზომიერი რისკის რეგიონი",R5,IF(I4="მაღალი რისკის რეგიონი",R6,IF(I4="ძალიან მაღალი რისკი",R7,""))))</f>
        <v/>
      </c>
      <c r="R4" s="5" t="s">
        <v>69</v>
      </c>
    </row>
    <row r="5" spans="1:21" x14ac:dyDescent="0.35">
      <c r="R5" s="5" t="s">
        <v>74</v>
      </c>
      <c r="U5" s="200"/>
    </row>
    <row r="6" spans="1:21" x14ac:dyDescent="0.35">
      <c r="O6" s="13">
        <v>2</v>
      </c>
      <c r="R6" s="5" t="s">
        <v>65</v>
      </c>
    </row>
    <row r="7" spans="1:21" x14ac:dyDescent="0.35">
      <c r="E7" s="3" t="s">
        <v>186</v>
      </c>
      <c r="F7" s="34"/>
      <c r="G7" s="2" t="s">
        <v>187</v>
      </c>
      <c r="I7" s="32"/>
      <c r="J7" s="32"/>
      <c r="R7" s="5" t="s">
        <v>35</v>
      </c>
    </row>
    <row r="8" spans="1:21" x14ac:dyDescent="0.35">
      <c r="E8" s="33" t="s">
        <v>274</v>
      </c>
    </row>
    <row r="9" spans="1:21" x14ac:dyDescent="0.35">
      <c r="O9" s="5" t="str">
        <f>IF(O6=1,"Female",IF(O6=2,"Male",""))</f>
        <v>Male</v>
      </c>
      <c r="P9" s="5" t="str">
        <f>IF(AND(O11,O12=FALSE),"yes",IF(AND(O11=FALSE,O12),"no",""))</f>
        <v>yes</v>
      </c>
    </row>
    <row r="10" spans="1:21" x14ac:dyDescent="0.35">
      <c r="E10" s="90" t="s">
        <v>188</v>
      </c>
      <c r="F10" s="90"/>
      <c r="G10" s="90"/>
      <c r="H10" s="90"/>
      <c r="I10" s="90"/>
      <c r="J10" s="90"/>
      <c r="K10" s="34"/>
      <c r="L10" s="2" t="s">
        <v>187</v>
      </c>
    </row>
    <row r="11" spans="1:21" x14ac:dyDescent="0.35">
      <c r="E11" s="33" t="s">
        <v>206</v>
      </c>
      <c r="O11" s="13" t="b">
        <v>1</v>
      </c>
    </row>
    <row r="12" spans="1:21" x14ac:dyDescent="0.35">
      <c r="G12"/>
      <c r="O12" s="13" t="b">
        <v>0</v>
      </c>
      <c r="T12" s="84"/>
    </row>
    <row r="13" spans="1:21" x14ac:dyDescent="0.35">
      <c r="C13" s="93" t="s">
        <v>189</v>
      </c>
      <c r="D13" s="93"/>
      <c r="E13" s="93"/>
      <c r="F13" s="2" t="s">
        <v>192</v>
      </c>
    </row>
    <row r="14" spans="1:21" x14ac:dyDescent="0.35">
      <c r="J14" s="119" t="s">
        <v>194</v>
      </c>
      <c r="K14" s="119"/>
      <c r="L14" s="119"/>
      <c r="M14" s="119"/>
      <c r="N14" s="34"/>
    </row>
    <row r="15" spans="1:21" x14ac:dyDescent="0.35">
      <c r="D15" s="2" t="s">
        <v>190</v>
      </c>
      <c r="J15" s="121" t="s">
        <v>197</v>
      </c>
      <c r="K15" s="116"/>
      <c r="L15" s="116"/>
      <c r="M15" s="116"/>
    </row>
    <row r="16" spans="1:21" x14ac:dyDescent="0.35">
      <c r="H16" s="34"/>
      <c r="I16" s="2" t="s">
        <v>193</v>
      </c>
      <c r="J16" s="119" t="s">
        <v>195</v>
      </c>
      <c r="K16" s="119"/>
      <c r="L16" s="119"/>
      <c r="M16" s="119"/>
      <c r="N16" s="34"/>
    </row>
    <row r="17" spans="1:18" x14ac:dyDescent="0.35">
      <c r="D17" s="2" t="s">
        <v>191</v>
      </c>
      <c r="J17" s="116" t="s">
        <v>198</v>
      </c>
      <c r="K17" s="116"/>
      <c r="L17" s="116"/>
      <c r="M17" s="116"/>
    </row>
    <row r="18" spans="1:18" x14ac:dyDescent="0.35">
      <c r="F18" s="117" t="s">
        <v>200</v>
      </c>
      <c r="G18" s="117"/>
      <c r="H18" s="117"/>
      <c r="J18" s="120" t="s">
        <v>196</v>
      </c>
      <c r="K18" s="120"/>
      <c r="L18" s="120"/>
      <c r="M18" s="120"/>
      <c r="N18" s="34"/>
    </row>
    <row r="19" spans="1:18" x14ac:dyDescent="0.35">
      <c r="J19" s="116" t="s">
        <v>199</v>
      </c>
      <c r="K19" s="116"/>
      <c r="L19" s="116"/>
      <c r="M19" s="116"/>
    </row>
    <row r="20" spans="1:18" ht="15" thickBot="1" x14ac:dyDescent="0.4"/>
    <row r="21" spans="1:18" ht="17" thickBot="1" x14ac:dyDescent="0.4">
      <c r="C21" s="10" t="s">
        <v>201</v>
      </c>
      <c r="D21" s="34"/>
      <c r="E21" s="2" t="s">
        <v>202</v>
      </c>
      <c r="H21" s="118" t="s">
        <v>204</v>
      </c>
      <c r="I21" s="118"/>
      <c r="J21" s="118"/>
      <c r="K21" s="118"/>
      <c r="L21" s="35" t="e">
        <f>calculator!B13</f>
        <v>#NUM!</v>
      </c>
      <c r="M21" s="36" t="s">
        <v>205</v>
      </c>
    </row>
    <row r="23" spans="1:18" x14ac:dyDescent="0.35">
      <c r="A23" s="117" t="s">
        <v>203</v>
      </c>
      <c r="B23" s="117"/>
      <c r="C23" s="117"/>
      <c r="H23" s="41" t="e">
        <f>IF(AND(L21&gt;0,L21&lt;5),"დაბალი კარდიოვასკულური რისკი",IF(AND(L21&gt;4.9,L21&lt;10),"საშუალო კარდიოვასკულური რისკი",IF(AND(L21&gt;9.9,L21&lt;20),"მაღალიკარდიოვასკულური რისკი",IF(L21&gt;19.9,"ძალიან მაღალი კარდიოვასკულური რისკი",""))))</f>
        <v>#NUM!</v>
      </c>
    </row>
    <row r="24" spans="1:18" x14ac:dyDescent="0.35">
      <c r="H24" s="122" t="e">
        <f>IF(H23="ძალიან მაღალი კარდიოვასკულური რისკი","რისკი ძალიან მაღალია სამიზნე ორგანოების მძიმე დაზიანების შემთხვევაშიც","")</f>
        <v>#NUM!</v>
      </c>
      <c r="I24" s="122"/>
      <c r="J24" s="122"/>
      <c r="K24" s="122"/>
      <c r="L24" s="122"/>
      <c r="M24" s="122"/>
      <c r="N24" s="122"/>
      <c r="O24" s="84" t="s">
        <v>75</v>
      </c>
      <c r="Q24" s="5" t="s">
        <v>133</v>
      </c>
      <c r="R24" s="5" t="s">
        <v>72</v>
      </c>
    </row>
    <row r="25" spans="1:18" x14ac:dyDescent="0.35">
      <c r="O25" s="84" t="s">
        <v>76</v>
      </c>
      <c r="Q25" s="5" t="s">
        <v>134</v>
      </c>
      <c r="R25" s="5" t="s">
        <v>185</v>
      </c>
    </row>
    <row r="26" spans="1:18" ht="15" customHeight="1" x14ac:dyDescent="0.35">
      <c r="A26" s="199"/>
      <c r="B26" s="199"/>
      <c r="C26" s="199"/>
      <c r="D26" s="199"/>
      <c r="E26" s="199"/>
      <c r="F26" s="199"/>
      <c r="G26" s="199"/>
      <c r="H26" s="199"/>
      <c r="I26" s="199"/>
      <c r="J26" s="199"/>
      <c r="K26" s="199"/>
      <c r="L26" s="199"/>
      <c r="M26" s="199"/>
      <c r="N26" s="199"/>
      <c r="O26" s="84" t="s">
        <v>77</v>
      </c>
      <c r="Q26" s="5" t="s">
        <v>130</v>
      </c>
      <c r="R26" s="5" t="s">
        <v>73</v>
      </c>
    </row>
    <row r="27" spans="1:18" x14ac:dyDescent="0.35">
      <c r="A27" s="199"/>
      <c r="B27" s="199"/>
      <c r="C27" s="199"/>
      <c r="D27" s="199"/>
      <c r="E27" s="199"/>
      <c r="F27" s="199"/>
      <c r="G27" s="199"/>
      <c r="H27" s="199"/>
      <c r="I27" s="199"/>
      <c r="J27" s="199"/>
      <c r="K27" s="199"/>
      <c r="L27" s="199"/>
      <c r="M27" s="199"/>
      <c r="N27" s="199"/>
      <c r="O27" s="84" t="s">
        <v>78</v>
      </c>
      <c r="Q27" s="5" t="s">
        <v>131</v>
      </c>
      <c r="R27" s="5" t="s">
        <v>185</v>
      </c>
    </row>
    <row r="28" spans="1:18" x14ac:dyDescent="0.35">
      <c r="A28" s="199"/>
      <c r="B28" s="199"/>
      <c r="C28" s="199"/>
      <c r="D28" s="199"/>
      <c r="E28" s="199"/>
      <c r="F28" s="199"/>
      <c r="G28" s="199"/>
      <c r="H28" s="199"/>
      <c r="I28" s="199"/>
      <c r="J28" s="199"/>
      <c r="K28" s="199"/>
      <c r="L28" s="199"/>
      <c r="M28" s="199"/>
      <c r="N28" s="199"/>
      <c r="O28" s="84" t="s">
        <v>79</v>
      </c>
      <c r="Q28" s="5" t="s">
        <v>136</v>
      </c>
      <c r="R28" s="5" t="s">
        <v>70</v>
      </c>
    </row>
    <row r="29" spans="1:18" ht="15" customHeight="1" x14ac:dyDescent="0.35">
      <c r="A29" s="199"/>
      <c r="B29" s="199"/>
      <c r="C29" s="199"/>
      <c r="D29" s="199"/>
      <c r="E29" s="199"/>
      <c r="F29" s="199"/>
      <c r="G29" s="199"/>
      <c r="H29" s="199"/>
      <c r="I29" s="199"/>
      <c r="J29" s="199"/>
      <c r="K29" s="199"/>
      <c r="L29" s="199"/>
      <c r="M29" s="199"/>
      <c r="N29" s="199"/>
      <c r="O29" s="84" t="s">
        <v>80</v>
      </c>
      <c r="Q29" s="5" t="s">
        <v>135</v>
      </c>
      <c r="R29" s="5" t="s">
        <v>185</v>
      </c>
    </row>
    <row r="30" spans="1:18" x14ac:dyDescent="0.35">
      <c r="A30" s="199"/>
      <c r="B30" s="199"/>
      <c r="C30" s="199"/>
      <c r="D30" s="199"/>
      <c r="E30" s="199"/>
      <c r="F30" s="199"/>
      <c r="G30" s="199"/>
      <c r="H30" s="199"/>
      <c r="I30" s="199"/>
      <c r="J30" s="199"/>
      <c r="K30" s="199"/>
      <c r="L30" s="199"/>
      <c r="M30" s="199"/>
      <c r="N30" s="199"/>
      <c r="O30" s="84" t="s">
        <v>81</v>
      </c>
      <c r="Q30" s="5" t="s">
        <v>137</v>
      </c>
      <c r="R30" s="5" t="s">
        <v>73</v>
      </c>
    </row>
    <row r="31" spans="1:18" x14ac:dyDescent="0.35">
      <c r="A31" s="199"/>
      <c r="B31" s="199"/>
      <c r="C31" s="199"/>
      <c r="D31" s="199"/>
      <c r="E31" s="199"/>
      <c r="F31" s="199"/>
      <c r="G31" s="199"/>
      <c r="H31" s="199"/>
      <c r="I31" s="199"/>
      <c r="J31" s="199"/>
      <c r="K31" s="199"/>
      <c r="L31" s="199"/>
      <c r="M31" s="199"/>
      <c r="N31" s="199"/>
      <c r="O31" s="84" t="s">
        <v>82</v>
      </c>
      <c r="Q31" s="5" t="s">
        <v>138</v>
      </c>
      <c r="R31" s="5" t="s">
        <v>185</v>
      </c>
    </row>
    <row r="32" spans="1:18" ht="15" customHeight="1" x14ac:dyDescent="0.35">
      <c r="A32" s="199"/>
      <c r="B32" s="199"/>
      <c r="C32" s="199"/>
      <c r="D32" s="199"/>
      <c r="E32" s="199"/>
      <c r="F32" s="199"/>
      <c r="G32" s="199"/>
      <c r="H32" s="199"/>
      <c r="I32" s="199"/>
      <c r="J32" s="199"/>
      <c r="K32" s="199"/>
      <c r="L32" s="199"/>
      <c r="M32" s="199"/>
      <c r="N32" s="199"/>
      <c r="O32" s="84" t="s">
        <v>83</v>
      </c>
      <c r="Q32" s="5" t="s">
        <v>183</v>
      </c>
      <c r="R32" s="5" t="s">
        <v>70</v>
      </c>
    </row>
    <row r="33" spans="1:18" x14ac:dyDescent="0.35">
      <c r="A33" s="199"/>
      <c r="B33" s="199"/>
      <c r="C33" s="199"/>
      <c r="D33" s="199"/>
      <c r="E33" s="199"/>
      <c r="F33" s="199"/>
      <c r="G33" s="199"/>
      <c r="H33" s="199"/>
      <c r="I33" s="199"/>
      <c r="J33" s="199"/>
      <c r="K33" s="199"/>
      <c r="L33" s="199"/>
      <c r="M33" s="199"/>
      <c r="N33" s="199"/>
      <c r="O33" s="84" t="s">
        <v>84</v>
      </c>
      <c r="Q33" s="5" t="s">
        <v>148</v>
      </c>
      <c r="R33" s="5" t="s">
        <v>72</v>
      </c>
    </row>
    <row r="34" spans="1:18" x14ac:dyDescent="0.35">
      <c r="A34" s="199"/>
      <c r="B34" s="199"/>
      <c r="C34" s="199"/>
      <c r="D34" s="199"/>
      <c r="E34" s="199"/>
      <c r="F34" s="199"/>
      <c r="G34" s="199"/>
      <c r="H34" s="199"/>
      <c r="I34" s="199"/>
      <c r="J34" s="199"/>
      <c r="K34" s="199"/>
      <c r="L34" s="199"/>
      <c r="M34" s="199"/>
      <c r="N34" s="199"/>
      <c r="O34" s="84" t="s">
        <v>85</v>
      </c>
      <c r="Q34" s="5" t="s">
        <v>142</v>
      </c>
      <c r="R34" s="5" t="s">
        <v>70</v>
      </c>
    </row>
    <row r="35" spans="1:18" x14ac:dyDescent="0.35">
      <c r="A35" s="199"/>
      <c r="B35" s="199"/>
      <c r="C35" s="199"/>
      <c r="D35" s="199"/>
      <c r="E35" s="199"/>
      <c r="F35" s="199"/>
      <c r="G35" s="199"/>
      <c r="H35" s="199"/>
      <c r="I35" s="199"/>
      <c r="J35" s="199"/>
      <c r="K35" s="199"/>
      <c r="L35" s="199"/>
      <c r="M35" s="199"/>
      <c r="N35" s="199"/>
      <c r="O35" s="84" t="s">
        <v>86</v>
      </c>
      <c r="Q35" s="5" t="s">
        <v>143</v>
      </c>
      <c r="R35" s="5" t="s">
        <v>185</v>
      </c>
    </row>
    <row r="36" spans="1:18" x14ac:dyDescent="0.35">
      <c r="A36" s="199"/>
      <c r="B36" s="199"/>
      <c r="C36" s="199"/>
      <c r="D36" s="199"/>
      <c r="E36" s="199"/>
      <c r="F36" s="199"/>
      <c r="G36" s="199"/>
      <c r="H36" s="199"/>
      <c r="I36" s="199"/>
      <c r="J36" s="199"/>
      <c r="K36" s="199"/>
      <c r="L36" s="199"/>
      <c r="M36" s="199"/>
      <c r="N36" s="199"/>
      <c r="O36" s="84" t="s">
        <v>87</v>
      </c>
      <c r="Q36" s="5" t="s">
        <v>175</v>
      </c>
      <c r="R36" s="5" t="s">
        <v>70</v>
      </c>
    </row>
    <row r="37" spans="1:18" x14ac:dyDescent="0.35">
      <c r="A37" s="199"/>
      <c r="B37" s="199"/>
      <c r="C37" s="199"/>
      <c r="D37" s="199"/>
      <c r="E37" s="199"/>
      <c r="F37" s="199"/>
      <c r="G37" s="199"/>
      <c r="H37" s="199"/>
      <c r="I37" s="199"/>
      <c r="J37" s="199"/>
      <c r="K37" s="199"/>
      <c r="L37" s="199"/>
      <c r="M37" s="199"/>
      <c r="N37" s="199"/>
      <c r="O37" s="84" t="s">
        <v>88</v>
      </c>
      <c r="Q37" s="5" t="s">
        <v>144</v>
      </c>
      <c r="R37" s="5" t="s">
        <v>73</v>
      </c>
    </row>
    <row r="38" spans="1:18" x14ac:dyDescent="0.35">
      <c r="A38" s="199"/>
      <c r="B38" s="199"/>
      <c r="C38" s="199"/>
      <c r="D38" s="199"/>
      <c r="E38" s="199"/>
      <c r="F38" s="199"/>
      <c r="G38" s="199"/>
      <c r="H38" s="199"/>
      <c r="I38" s="199"/>
      <c r="J38" s="199"/>
      <c r="K38" s="199"/>
      <c r="L38" s="199"/>
      <c r="M38" s="199"/>
      <c r="N38" s="199"/>
      <c r="O38" s="84" t="s">
        <v>89</v>
      </c>
      <c r="Q38" s="5" t="s">
        <v>181</v>
      </c>
      <c r="R38" s="5" t="s">
        <v>73</v>
      </c>
    </row>
    <row r="39" spans="1:18" x14ac:dyDescent="0.35">
      <c r="A39" s="199"/>
      <c r="B39" s="199"/>
      <c r="C39" s="199"/>
      <c r="D39" s="199"/>
      <c r="E39" s="199"/>
      <c r="F39" s="199"/>
      <c r="G39" s="199"/>
      <c r="H39" s="199"/>
      <c r="I39" s="199"/>
      <c r="J39" s="199"/>
      <c r="K39" s="199"/>
      <c r="L39" s="199"/>
      <c r="M39" s="199"/>
      <c r="N39" s="199"/>
      <c r="O39" s="84" t="s">
        <v>90</v>
      </c>
      <c r="Q39" s="5" t="s">
        <v>152</v>
      </c>
      <c r="R39" s="5" t="s">
        <v>72</v>
      </c>
    </row>
    <row r="40" spans="1:18" x14ac:dyDescent="0.35">
      <c r="A40" s="199"/>
      <c r="B40" s="199"/>
      <c r="C40" s="199"/>
      <c r="D40" s="199"/>
      <c r="E40" s="199"/>
      <c r="F40" s="199"/>
      <c r="G40" s="199"/>
      <c r="H40" s="199"/>
      <c r="I40" s="199"/>
      <c r="J40" s="199"/>
      <c r="K40" s="199"/>
      <c r="L40" s="199"/>
      <c r="M40" s="199"/>
      <c r="N40" s="199"/>
      <c r="O40" s="84" t="s">
        <v>91</v>
      </c>
      <c r="Q40" s="5" t="s">
        <v>151</v>
      </c>
      <c r="R40" s="5" t="s">
        <v>72</v>
      </c>
    </row>
    <row r="41" spans="1:18" x14ac:dyDescent="0.35">
      <c r="A41" s="199"/>
      <c r="B41" s="199"/>
      <c r="C41" s="199"/>
      <c r="D41" s="199"/>
      <c r="E41" s="199"/>
      <c r="F41" s="199"/>
      <c r="G41" s="199"/>
      <c r="H41" s="199"/>
      <c r="I41" s="199"/>
      <c r="J41" s="199"/>
      <c r="K41" s="199"/>
      <c r="L41" s="199"/>
      <c r="M41" s="199"/>
      <c r="N41" s="199"/>
      <c r="O41" s="84" t="s">
        <v>92</v>
      </c>
      <c r="Q41" s="5" t="s">
        <v>153</v>
      </c>
      <c r="R41" s="5" t="s">
        <v>70</v>
      </c>
    </row>
    <row r="42" spans="1:18" x14ac:dyDescent="0.35">
      <c r="A42" s="199"/>
      <c r="B42" s="199"/>
      <c r="C42" s="199"/>
      <c r="D42" s="199"/>
      <c r="E42" s="199"/>
      <c r="F42" s="199"/>
      <c r="G42" s="199"/>
      <c r="H42" s="199"/>
      <c r="I42" s="199"/>
      <c r="J42" s="199"/>
      <c r="K42" s="199"/>
      <c r="L42" s="199"/>
      <c r="M42" s="199"/>
      <c r="N42" s="199"/>
      <c r="O42" s="84" t="s">
        <v>93</v>
      </c>
      <c r="Q42" s="5" t="s">
        <v>154</v>
      </c>
      <c r="R42" s="5" t="s">
        <v>72</v>
      </c>
    </row>
    <row r="43" spans="1:18" x14ac:dyDescent="0.35">
      <c r="A43" s="199"/>
      <c r="B43" s="199"/>
      <c r="C43" s="199"/>
      <c r="D43" s="199"/>
      <c r="E43" s="199"/>
      <c r="F43" s="199"/>
      <c r="G43" s="199"/>
      <c r="H43" s="199"/>
      <c r="I43" s="199"/>
      <c r="J43" s="199"/>
      <c r="K43" s="199"/>
      <c r="L43" s="199"/>
      <c r="M43" s="199"/>
      <c r="N43" s="199"/>
      <c r="O43" s="84" t="s">
        <v>94</v>
      </c>
      <c r="Q43" s="5" t="s">
        <v>140</v>
      </c>
      <c r="R43" s="5" t="s">
        <v>72</v>
      </c>
    </row>
    <row r="44" spans="1:18" x14ac:dyDescent="0.35">
      <c r="A44" s="199"/>
      <c r="B44" s="199"/>
      <c r="C44" s="199"/>
      <c r="D44" s="199"/>
      <c r="E44" s="199"/>
      <c r="F44" s="199"/>
      <c r="G44" s="199"/>
      <c r="H44" s="199"/>
      <c r="I44" s="199"/>
      <c r="J44" s="199"/>
      <c r="K44" s="199"/>
      <c r="L44" s="199"/>
      <c r="M44" s="199"/>
      <c r="N44" s="199"/>
      <c r="O44" s="84" t="s">
        <v>95</v>
      </c>
      <c r="Q44" s="5" t="s">
        <v>157</v>
      </c>
      <c r="R44" s="5" t="s">
        <v>185</v>
      </c>
    </row>
    <row r="45" spans="1:18" x14ac:dyDescent="0.35">
      <c r="A45" s="199"/>
      <c r="B45" s="199"/>
      <c r="C45" s="199"/>
      <c r="D45" s="199"/>
      <c r="E45" s="199"/>
      <c r="F45" s="199"/>
      <c r="G45" s="199"/>
      <c r="H45" s="199"/>
      <c r="I45" s="199"/>
      <c r="J45" s="199"/>
      <c r="K45" s="199"/>
      <c r="L45" s="199"/>
      <c r="M45" s="199"/>
      <c r="N45" s="199"/>
      <c r="O45" s="84" t="s">
        <v>96</v>
      </c>
      <c r="Q45" s="5" t="s">
        <v>159</v>
      </c>
      <c r="R45" s="5" t="s">
        <v>185</v>
      </c>
    </row>
    <row r="46" spans="1:18" x14ac:dyDescent="0.35">
      <c r="A46" s="199"/>
      <c r="B46" s="199"/>
      <c r="C46" s="199"/>
      <c r="D46" s="199"/>
      <c r="E46" s="199"/>
      <c r="F46" s="199"/>
      <c r="G46" s="199"/>
      <c r="H46" s="199"/>
      <c r="I46" s="199"/>
      <c r="J46" s="199"/>
      <c r="K46" s="199"/>
      <c r="L46" s="199"/>
      <c r="M46" s="199"/>
      <c r="N46" s="199"/>
      <c r="O46" s="84" t="s">
        <v>97</v>
      </c>
      <c r="Q46" s="5" t="s">
        <v>158</v>
      </c>
      <c r="R46" s="5" t="s">
        <v>185</v>
      </c>
    </row>
    <row r="47" spans="1:18" x14ac:dyDescent="0.35">
      <c r="A47" s="199"/>
      <c r="B47" s="199"/>
      <c r="C47" s="199"/>
      <c r="D47" s="199"/>
      <c r="E47" s="199"/>
      <c r="F47" s="199"/>
      <c r="G47" s="199"/>
      <c r="H47" s="199"/>
      <c r="I47" s="199"/>
      <c r="J47" s="199"/>
      <c r="K47" s="199"/>
      <c r="L47" s="199"/>
      <c r="M47" s="199"/>
      <c r="N47" s="199"/>
      <c r="O47" s="84" t="s">
        <v>98</v>
      </c>
      <c r="Q47" s="5" t="s">
        <v>160</v>
      </c>
      <c r="R47" s="5" t="s">
        <v>185</v>
      </c>
    </row>
    <row r="48" spans="1:18" x14ac:dyDescent="0.35">
      <c r="A48" s="199"/>
      <c r="B48" s="199"/>
      <c r="C48" s="199"/>
      <c r="D48" s="199"/>
      <c r="E48" s="199"/>
      <c r="F48" s="199"/>
      <c r="G48" s="199"/>
      <c r="H48" s="199"/>
      <c r="I48" s="199"/>
      <c r="J48" s="199"/>
      <c r="K48" s="199"/>
      <c r="L48" s="199"/>
      <c r="M48" s="199"/>
      <c r="N48" s="199"/>
      <c r="O48" s="84" t="s">
        <v>99</v>
      </c>
      <c r="Q48" s="5" t="s">
        <v>161</v>
      </c>
      <c r="R48" s="5" t="s">
        <v>70</v>
      </c>
    </row>
    <row r="49" spans="1:18" x14ac:dyDescent="0.35">
      <c r="A49" s="199"/>
      <c r="B49" s="199"/>
      <c r="C49" s="199"/>
      <c r="D49" s="199"/>
      <c r="E49" s="199"/>
      <c r="F49" s="199"/>
      <c r="G49" s="199"/>
      <c r="H49" s="199"/>
      <c r="I49" s="199"/>
      <c r="J49" s="199"/>
      <c r="K49" s="199"/>
      <c r="L49" s="199"/>
      <c r="M49" s="199"/>
      <c r="N49" s="199"/>
      <c r="O49" s="84" t="s">
        <v>100</v>
      </c>
      <c r="Q49" s="5" t="s">
        <v>179</v>
      </c>
      <c r="R49" s="5" t="s">
        <v>185</v>
      </c>
    </row>
    <row r="50" spans="1:18" x14ac:dyDescent="0.35">
      <c r="A50" s="199"/>
      <c r="B50" s="199"/>
      <c r="C50" s="199"/>
      <c r="D50" s="199"/>
      <c r="E50" s="199"/>
      <c r="F50" s="199"/>
      <c r="G50" s="199"/>
      <c r="H50" s="199"/>
      <c r="I50" s="199"/>
      <c r="J50" s="199"/>
      <c r="K50" s="199"/>
      <c r="L50" s="199"/>
      <c r="M50" s="199"/>
      <c r="N50" s="199"/>
      <c r="O50" s="84" t="s">
        <v>101</v>
      </c>
      <c r="Q50" s="5" t="s">
        <v>162</v>
      </c>
      <c r="R50" s="5" t="s">
        <v>72</v>
      </c>
    </row>
    <row r="51" spans="1:18" x14ac:dyDescent="0.35">
      <c r="A51" s="199"/>
      <c r="B51" s="199"/>
      <c r="C51" s="199"/>
      <c r="D51" s="199"/>
      <c r="E51" s="199"/>
      <c r="F51" s="199"/>
      <c r="G51" s="199"/>
      <c r="H51" s="199"/>
      <c r="I51" s="199"/>
      <c r="J51" s="199"/>
      <c r="K51" s="199"/>
      <c r="L51" s="199"/>
      <c r="M51" s="199"/>
      <c r="N51" s="199"/>
      <c r="O51" s="84" t="s">
        <v>102</v>
      </c>
      <c r="Q51" s="5" t="s">
        <v>164</v>
      </c>
      <c r="R51" s="5" t="s">
        <v>185</v>
      </c>
    </row>
    <row r="52" spans="1:18" x14ac:dyDescent="0.35">
      <c r="A52" s="199"/>
      <c r="B52" s="199"/>
      <c r="C52" s="199"/>
      <c r="D52" s="199"/>
      <c r="E52" s="199"/>
      <c r="F52" s="199"/>
      <c r="G52" s="199"/>
      <c r="H52" s="199"/>
      <c r="I52" s="199"/>
      <c r="J52" s="199"/>
      <c r="K52" s="199"/>
      <c r="L52" s="199"/>
      <c r="M52" s="199"/>
      <c r="N52" s="199"/>
      <c r="O52" s="84" t="s">
        <v>103</v>
      </c>
      <c r="Q52" s="5" t="s">
        <v>169</v>
      </c>
      <c r="R52" s="5" t="s">
        <v>185</v>
      </c>
    </row>
    <row r="53" spans="1:18" x14ac:dyDescent="0.35">
      <c r="A53" s="199"/>
      <c r="B53" s="199"/>
      <c r="C53" s="199"/>
      <c r="D53" s="199"/>
      <c r="E53" s="199"/>
      <c r="F53" s="199"/>
      <c r="G53" s="199"/>
      <c r="H53" s="199"/>
      <c r="I53" s="199"/>
      <c r="J53" s="199"/>
      <c r="K53" s="199"/>
      <c r="L53" s="199"/>
      <c r="M53" s="199"/>
      <c r="N53" s="199"/>
      <c r="O53" s="84" t="s">
        <v>104</v>
      </c>
      <c r="Q53" s="5" t="s">
        <v>163</v>
      </c>
      <c r="R53" s="5" t="s">
        <v>185</v>
      </c>
    </row>
    <row r="54" spans="1:18" x14ac:dyDescent="0.35">
      <c r="A54" s="199"/>
      <c r="B54" s="199"/>
      <c r="C54" s="199"/>
      <c r="D54" s="199"/>
      <c r="E54" s="199"/>
      <c r="F54" s="199"/>
      <c r="G54" s="199"/>
      <c r="H54" s="199"/>
      <c r="I54" s="199"/>
      <c r="J54" s="199"/>
      <c r="K54" s="199"/>
      <c r="L54" s="199"/>
      <c r="M54" s="199"/>
      <c r="N54" s="199"/>
      <c r="O54" s="84" t="s">
        <v>105</v>
      </c>
      <c r="Q54" s="5" t="s">
        <v>165</v>
      </c>
      <c r="R54" s="5" t="s">
        <v>70</v>
      </c>
    </row>
    <row r="55" spans="1:18" x14ac:dyDescent="0.35">
      <c r="A55" s="199"/>
      <c r="B55" s="199"/>
      <c r="C55" s="199"/>
      <c r="D55" s="199"/>
      <c r="E55" s="199"/>
      <c r="F55" s="199"/>
      <c r="G55" s="199"/>
      <c r="H55" s="199"/>
      <c r="I55" s="199"/>
      <c r="J55" s="199"/>
      <c r="K55" s="199"/>
      <c r="L55" s="199"/>
      <c r="M55" s="199"/>
      <c r="N55" s="199"/>
      <c r="O55" s="84" t="s">
        <v>106</v>
      </c>
      <c r="Q55" s="5" t="s">
        <v>166</v>
      </c>
      <c r="R55" s="5" t="s">
        <v>70</v>
      </c>
    </row>
    <row r="56" spans="1:18" x14ac:dyDescent="0.35">
      <c r="A56" s="199"/>
      <c r="B56" s="199"/>
      <c r="C56" s="199"/>
      <c r="D56" s="199"/>
      <c r="E56" s="199"/>
      <c r="F56" s="199"/>
      <c r="G56" s="199"/>
      <c r="H56" s="199"/>
      <c r="I56" s="199"/>
      <c r="J56" s="199"/>
      <c r="K56" s="199"/>
      <c r="L56" s="199"/>
      <c r="M56" s="199"/>
      <c r="N56" s="199"/>
      <c r="O56" s="84" t="s">
        <v>107</v>
      </c>
      <c r="Q56" s="5" t="s">
        <v>167</v>
      </c>
      <c r="R56" s="5" t="s">
        <v>73</v>
      </c>
    </row>
    <row r="57" spans="1:18" x14ac:dyDescent="0.35">
      <c r="A57" s="199"/>
      <c r="B57" s="199"/>
      <c r="C57" s="199"/>
      <c r="D57" s="199"/>
      <c r="E57" s="199"/>
      <c r="F57" s="199"/>
      <c r="G57" s="199"/>
      <c r="H57" s="199"/>
      <c r="I57" s="199"/>
      <c r="J57" s="199"/>
      <c r="K57" s="199"/>
      <c r="L57" s="199"/>
      <c r="M57" s="199"/>
      <c r="N57" s="199"/>
      <c r="O57" s="84" t="s">
        <v>108</v>
      </c>
      <c r="Q57" s="5" t="s">
        <v>168</v>
      </c>
      <c r="R57" s="5" t="s">
        <v>72</v>
      </c>
    </row>
    <row r="58" spans="1:18" x14ac:dyDescent="0.35">
      <c r="A58" s="199"/>
      <c r="B58" s="199"/>
      <c r="C58" s="199"/>
      <c r="D58" s="199"/>
      <c r="E58" s="199"/>
      <c r="F58" s="199"/>
      <c r="G58" s="199"/>
      <c r="H58" s="199"/>
      <c r="I58" s="199"/>
      <c r="J58" s="199"/>
      <c r="K58" s="199"/>
      <c r="L58" s="199"/>
      <c r="M58" s="199"/>
      <c r="N58" s="199"/>
      <c r="O58" s="84" t="s">
        <v>109</v>
      </c>
      <c r="Q58" s="5" t="s">
        <v>170</v>
      </c>
      <c r="R58" s="5" t="s">
        <v>185</v>
      </c>
    </row>
    <row r="59" spans="1:18" x14ac:dyDescent="0.35">
      <c r="A59" s="199"/>
      <c r="B59" s="199"/>
      <c r="C59" s="199"/>
      <c r="D59" s="199"/>
      <c r="E59" s="199"/>
      <c r="F59" s="199"/>
      <c r="G59" s="199"/>
      <c r="H59" s="199"/>
      <c r="I59" s="199"/>
      <c r="J59" s="199"/>
      <c r="K59" s="199"/>
      <c r="L59" s="199"/>
      <c r="M59" s="199"/>
      <c r="N59" s="199"/>
      <c r="O59" s="84" t="s">
        <v>110</v>
      </c>
      <c r="Q59" s="5" t="s">
        <v>149</v>
      </c>
      <c r="R59" s="5" t="s">
        <v>72</v>
      </c>
    </row>
    <row r="60" spans="1:18" x14ac:dyDescent="0.35">
      <c r="A60" s="199"/>
      <c r="B60" s="199"/>
      <c r="C60" s="199"/>
      <c r="D60" s="199"/>
      <c r="E60" s="199"/>
      <c r="F60" s="199"/>
      <c r="G60" s="199"/>
      <c r="H60" s="199"/>
      <c r="I60" s="199"/>
      <c r="J60" s="199"/>
      <c r="K60" s="199"/>
      <c r="L60" s="199"/>
      <c r="M60" s="199"/>
      <c r="N60" s="199"/>
      <c r="O60" s="84" t="s">
        <v>111</v>
      </c>
      <c r="Q60" s="5" t="s">
        <v>171</v>
      </c>
      <c r="R60" s="5" t="s">
        <v>72</v>
      </c>
    </row>
    <row r="61" spans="1:18" x14ac:dyDescent="0.35">
      <c r="A61" s="199"/>
      <c r="B61" s="199"/>
      <c r="C61" s="199"/>
      <c r="D61" s="199"/>
      <c r="E61" s="199"/>
      <c r="F61" s="199"/>
      <c r="G61" s="199"/>
      <c r="H61" s="199"/>
      <c r="I61" s="199"/>
      <c r="J61" s="199"/>
      <c r="K61" s="199"/>
      <c r="L61" s="199"/>
      <c r="M61" s="199"/>
      <c r="N61" s="199"/>
      <c r="O61" s="84" t="s">
        <v>112</v>
      </c>
      <c r="Q61" s="5" t="s">
        <v>146</v>
      </c>
      <c r="R61" s="5" t="s">
        <v>70</v>
      </c>
    </row>
    <row r="62" spans="1:18" x14ac:dyDescent="0.35">
      <c r="A62" s="199"/>
      <c r="B62" s="199"/>
      <c r="C62" s="199"/>
      <c r="D62" s="199"/>
      <c r="E62" s="199"/>
      <c r="F62" s="199"/>
      <c r="G62" s="199"/>
      <c r="H62" s="199"/>
      <c r="I62" s="199"/>
      <c r="J62" s="199"/>
      <c r="K62" s="199"/>
      <c r="L62" s="199"/>
      <c r="M62" s="199"/>
      <c r="N62" s="199"/>
      <c r="O62" s="84" t="s">
        <v>113</v>
      </c>
      <c r="Q62" s="5" t="s">
        <v>147</v>
      </c>
      <c r="R62" s="5" t="s">
        <v>185</v>
      </c>
    </row>
    <row r="63" spans="1:18" x14ac:dyDescent="0.35">
      <c r="A63" s="199"/>
      <c r="B63" s="199"/>
      <c r="C63" s="199"/>
      <c r="D63" s="199"/>
      <c r="E63" s="199"/>
      <c r="F63" s="199"/>
      <c r="G63" s="199"/>
      <c r="H63" s="199"/>
      <c r="I63" s="199"/>
      <c r="J63" s="199"/>
      <c r="K63" s="199"/>
      <c r="L63" s="199"/>
      <c r="M63" s="199"/>
      <c r="N63" s="199"/>
      <c r="O63" s="84" t="s">
        <v>114</v>
      </c>
      <c r="Q63" s="5" t="s">
        <v>172</v>
      </c>
      <c r="R63" s="5" t="s">
        <v>185</v>
      </c>
    </row>
    <row r="64" spans="1:18" x14ac:dyDescent="0.35">
      <c r="A64" s="199"/>
      <c r="B64" s="199"/>
      <c r="C64" s="199"/>
      <c r="D64" s="199"/>
      <c r="E64" s="199"/>
      <c r="F64" s="199"/>
      <c r="G64" s="199"/>
      <c r="H64" s="199"/>
      <c r="I64" s="199"/>
      <c r="J64" s="199"/>
      <c r="K64" s="199"/>
      <c r="L64" s="199"/>
      <c r="M64" s="199"/>
      <c r="N64" s="199"/>
      <c r="O64" s="84" t="s">
        <v>115</v>
      </c>
      <c r="Q64" s="5" t="s">
        <v>178</v>
      </c>
      <c r="R64" s="5" t="s">
        <v>185</v>
      </c>
    </row>
    <row r="65" spans="1:18" x14ac:dyDescent="0.35">
      <c r="A65" s="199"/>
      <c r="B65" s="199"/>
      <c r="C65" s="199"/>
      <c r="D65" s="199"/>
      <c r="E65" s="199"/>
      <c r="F65" s="199"/>
      <c r="G65" s="199"/>
      <c r="H65" s="199"/>
      <c r="I65" s="199"/>
      <c r="J65" s="199"/>
      <c r="K65" s="199"/>
      <c r="L65" s="199"/>
      <c r="M65" s="199"/>
      <c r="N65" s="199"/>
      <c r="O65" s="84" t="s">
        <v>116</v>
      </c>
      <c r="Q65" s="5" t="s">
        <v>173</v>
      </c>
      <c r="R65" s="5" t="s">
        <v>73</v>
      </c>
    </row>
    <row r="66" spans="1:18" x14ac:dyDescent="0.35">
      <c r="A66" s="199"/>
      <c r="B66" s="199"/>
      <c r="C66" s="199"/>
      <c r="D66" s="199"/>
      <c r="E66" s="199"/>
      <c r="F66" s="199"/>
      <c r="G66" s="199"/>
      <c r="H66" s="199"/>
      <c r="I66" s="199"/>
      <c r="J66" s="199"/>
      <c r="K66" s="199"/>
      <c r="L66" s="199"/>
      <c r="M66" s="199"/>
      <c r="N66" s="199"/>
      <c r="O66" s="84" t="s">
        <v>117</v>
      </c>
      <c r="Q66" s="5" t="s">
        <v>174</v>
      </c>
      <c r="R66" s="5" t="s">
        <v>72</v>
      </c>
    </row>
    <row r="67" spans="1:18" x14ac:dyDescent="0.35">
      <c r="A67" s="199"/>
      <c r="B67" s="199"/>
      <c r="C67" s="199"/>
      <c r="D67" s="199"/>
      <c r="E67" s="199"/>
      <c r="F67" s="199"/>
      <c r="G67" s="199"/>
      <c r="H67" s="199"/>
      <c r="I67" s="199"/>
      <c r="J67" s="199"/>
      <c r="K67" s="199"/>
      <c r="L67" s="199"/>
      <c r="M67" s="199"/>
      <c r="N67" s="199"/>
      <c r="O67" s="84" t="s">
        <v>118</v>
      </c>
      <c r="Q67" s="5" t="s">
        <v>132</v>
      </c>
      <c r="R67" s="5" t="s">
        <v>185</v>
      </c>
    </row>
    <row r="68" spans="1:18" x14ac:dyDescent="0.35">
      <c r="A68" s="199"/>
      <c r="B68" s="199"/>
      <c r="C68" s="199"/>
      <c r="D68" s="199"/>
      <c r="E68" s="199"/>
      <c r="F68" s="199"/>
      <c r="G68" s="199"/>
      <c r="H68" s="199"/>
      <c r="I68" s="199"/>
      <c r="J68" s="199"/>
      <c r="K68" s="199"/>
      <c r="L68" s="199"/>
      <c r="M68" s="199"/>
      <c r="N68" s="199"/>
      <c r="O68" s="84" t="s">
        <v>119</v>
      </c>
      <c r="Q68" s="5" t="s">
        <v>180</v>
      </c>
      <c r="R68" s="5" t="s">
        <v>185</v>
      </c>
    </row>
    <row r="69" spans="1:18" x14ac:dyDescent="0.35">
      <c r="A69" s="199"/>
      <c r="B69" s="199"/>
      <c r="C69" s="199"/>
      <c r="D69" s="199"/>
      <c r="E69" s="199"/>
      <c r="F69" s="199"/>
      <c r="G69" s="199"/>
      <c r="H69" s="199"/>
      <c r="I69" s="199"/>
      <c r="J69" s="199"/>
      <c r="K69" s="199"/>
      <c r="L69" s="199"/>
      <c r="M69" s="199"/>
      <c r="N69" s="199"/>
      <c r="O69" s="84" t="s">
        <v>120</v>
      </c>
      <c r="Q69" s="5" t="s">
        <v>184</v>
      </c>
      <c r="R69" s="5" t="s">
        <v>185</v>
      </c>
    </row>
    <row r="70" spans="1:18" x14ac:dyDescent="0.35">
      <c r="A70" s="199"/>
      <c r="B70" s="199"/>
      <c r="C70" s="199"/>
      <c r="D70" s="199"/>
      <c r="E70" s="199"/>
      <c r="F70" s="199"/>
      <c r="G70" s="199"/>
      <c r="H70" s="199"/>
      <c r="I70" s="199"/>
      <c r="J70" s="199"/>
      <c r="K70" s="199"/>
      <c r="L70" s="199"/>
      <c r="M70" s="199"/>
      <c r="N70" s="199"/>
      <c r="O70" s="84" t="s">
        <v>121</v>
      </c>
      <c r="Q70" s="5" t="s">
        <v>182</v>
      </c>
      <c r="R70" s="5" t="s">
        <v>185</v>
      </c>
    </row>
    <row r="71" spans="1:18" x14ac:dyDescent="0.35">
      <c r="A71" s="199"/>
      <c r="B71" s="199"/>
      <c r="C71" s="199"/>
      <c r="D71" s="199"/>
      <c r="E71" s="199"/>
      <c r="F71" s="199"/>
      <c r="G71" s="199"/>
      <c r="H71" s="199"/>
      <c r="I71" s="199"/>
      <c r="J71" s="199"/>
      <c r="K71" s="199"/>
      <c r="L71" s="199"/>
      <c r="M71" s="199"/>
      <c r="N71" s="199"/>
      <c r="O71" s="84" t="s">
        <v>122</v>
      </c>
      <c r="Q71" s="5" t="s">
        <v>150</v>
      </c>
      <c r="R71" s="5" t="s">
        <v>73</v>
      </c>
    </row>
    <row r="72" spans="1:18" x14ac:dyDescent="0.35">
      <c r="A72" s="199"/>
      <c r="B72" s="199"/>
      <c r="C72" s="199"/>
      <c r="D72" s="199"/>
      <c r="E72" s="199"/>
      <c r="F72" s="199"/>
      <c r="G72" s="199"/>
      <c r="H72" s="199"/>
      <c r="I72" s="199"/>
      <c r="J72" s="199"/>
      <c r="K72" s="199"/>
      <c r="L72" s="199"/>
      <c r="M72" s="199"/>
      <c r="N72" s="199"/>
      <c r="O72" s="84" t="s">
        <v>123</v>
      </c>
      <c r="Q72" s="5" t="s">
        <v>145</v>
      </c>
      <c r="R72" s="5" t="s">
        <v>72</v>
      </c>
    </row>
    <row r="73" spans="1:18" x14ac:dyDescent="0.35">
      <c r="A73" s="199"/>
      <c r="B73" s="199"/>
      <c r="C73" s="199"/>
      <c r="D73" s="199"/>
      <c r="E73" s="199"/>
      <c r="F73" s="199"/>
      <c r="G73" s="199"/>
      <c r="H73" s="199"/>
      <c r="I73" s="199"/>
      <c r="J73" s="199"/>
      <c r="K73" s="199"/>
      <c r="L73" s="199"/>
      <c r="M73" s="199"/>
      <c r="N73" s="199"/>
      <c r="O73" s="84" t="s">
        <v>124</v>
      </c>
      <c r="Q73" s="5" t="s">
        <v>155</v>
      </c>
      <c r="R73" s="5" t="s">
        <v>73</v>
      </c>
    </row>
    <row r="74" spans="1:18" x14ac:dyDescent="0.35">
      <c r="A74" s="199"/>
      <c r="B74" s="199"/>
      <c r="C74" s="199"/>
      <c r="D74" s="199"/>
      <c r="E74" s="199"/>
      <c r="F74" s="199"/>
      <c r="G74" s="199"/>
      <c r="H74" s="199"/>
      <c r="I74" s="199"/>
      <c r="J74" s="199"/>
      <c r="K74" s="199"/>
      <c r="L74" s="199"/>
      <c r="M74" s="199"/>
      <c r="N74" s="199"/>
      <c r="O74" s="84" t="s">
        <v>125</v>
      </c>
      <c r="Q74" s="5" t="s">
        <v>156</v>
      </c>
      <c r="R74" s="5" t="s">
        <v>185</v>
      </c>
    </row>
    <row r="75" spans="1:18" x14ac:dyDescent="0.35">
      <c r="A75" s="199"/>
      <c r="B75" s="199"/>
      <c r="C75" s="199"/>
      <c r="D75" s="199"/>
      <c r="E75" s="199"/>
      <c r="F75" s="199"/>
      <c r="G75" s="199"/>
      <c r="H75" s="199"/>
      <c r="I75" s="199"/>
      <c r="J75" s="199"/>
      <c r="K75" s="199"/>
      <c r="L75" s="199"/>
      <c r="M75" s="199"/>
      <c r="N75" s="199"/>
      <c r="O75" s="84" t="s">
        <v>126</v>
      </c>
      <c r="Q75" s="5" t="s">
        <v>176</v>
      </c>
      <c r="R75" s="5" t="s">
        <v>72</v>
      </c>
    </row>
    <row r="76" spans="1:18" x14ac:dyDescent="0.35">
      <c r="A76" s="199"/>
      <c r="B76" s="199"/>
      <c r="C76" s="199"/>
      <c r="D76" s="199"/>
      <c r="E76" s="199"/>
      <c r="F76" s="199"/>
      <c r="G76" s="199"/>
      <c r="H76" s="199"/>
      <c r="I76" s="199"/>
      <c r="J76" s="199"/>
      <c r="K76" s="199"/>
      <c r="L76" s="199"/>
      <c r="M76" s="199"/>
      <c r="N76" s="199"/>
      <c r="O76" s="84" t="s">
        <v>127</v>
      </c>
      <c r="Q76" s="5" t="s">
        <v>177</v>
      </c>
      <c r="R76" s="5" t="s">
        <v>70</v>
      </c>
    </row>
    <row r="77" spans="1:18" x14ac:dyDescent="0.35">
      <c r="A77" s="199"/>
      <c r="B77" s="199"/>
      <c r="C77" s="199"/>
      <c r="D77" s="199"/>
      <c r="E77" s="199"/>
      <c r="F77" s="199"/>
      <c r="G77" s="199"/>
      <c r="H77" s="199"/>
      <c r="I77" s="199"/>
      <c r="J77" s="199"/>
      <c r="K77" s="199"/>
      <c r="L77" s="199"/>
      <c r="M77" s="199"/>
      <c r="N77" s="199"/>
      <c r="O77" s="84" t="s">
        <v>128</v>
      </c>
      <c r="Q77" s="5" t="s">
        <v>141</v>
      </c>
      <c r="R77" s="5" t="s">
        <v>73</v>
      </c>
    </row>
    <row r="78" spans="1:18" x14ac:dyDescent="0.35">
      <c r="A78" s="199"/>
      <c r="B78" s="199"/>
      <c r="C78" s="199"/>
      <c r="D78" s="199"/>
      <c r="E78" s="199"/>
      <c r="F78" s="199"/>
      <c r="G78" s="199"/>
      <c r="H78" s="199"/>
      <c r="I78" s="199"/>
      <c r="J78" s="199"/>
      <c r="K78" s="199"/>
      <c r="L78" s="199"/>
      <c r="M78" s="199"/>
      <c r="N78" s="199"/>
      <c r="O78" s="84" t="s">
        <v>129</v>
      </c>
      <c r="Q78" s="5" t="s">
        <v>139</v>
      </c>
      <c r="R78" s="5" t="s">
        <v>73</v>
      </c>
    </row>
    <row r="79" spans="1:18" x14ac:dyDescent="0.35">
      <c r="A79" s="199"/>
      <c r="B79" s="199"/>
      <c r="C79" s="199"/>
      <c r="D79" s="199"/>
      <c r="E79" s="199"/>
      <c r="F79" s="199"/>
      <c r="G79" s="199"/>
      <c r="H79" s="199"/>
      <c r="I79" s="199"/>
      <c r="J79" s="199"/>
      <c r="K79" s="199"/>
      <c r="L79" s="199"/>
      <c r="M79" s="199"/>
      <c r="N79" s="199"/>
    </row>
    <row r="80" spans="1:18" x14ac:dyDescent="0.35">
      <c r="A80" s="199"/>
      <c r="B80" s="199"/>
      <c r="C80" s="199"/>
      <c r="D80" s="199"/>
      <c r="E80" s="199"/>
      <c r="F80" s="199"/>
      <c r="G80" s="199"/>
      <c r="H80" s="199"/>
      <c r="I80" s="199"/>
      <c r="J80" s="199"/>
      <c r="K80" s="199"/>
      <c r="L80" s="199"/>
      <c r="M80" s="199"/>
      <c r="N80" s="199"/>
    </row>
    <row r="81" spans="1:14" x14ac:dyDescent="0.35">
      <c r="A81" s="199"/>
      <c r="B81" s="199"/>
      <c r="C81" s="199"/>
      <c r="D81" s="199"/>
      <c r="E81" s="199"/>
      <c r="F81" s="199"/>
      <c r="G81" s="199"/>
      <c r="H81" s="199"/>
      <c r="I81" s="199"/>
      <c r="J81" s="199"/>
      <c r="K81" s="199"/>
      <c r="L81" s="199"/>
      <c r="M81" s="199"/>
      <c r="N81" s="199"/>
    </row>
    <row r="82" spans="1:14" x14ac:dyDescent="0.35">
      <c r="A82" s="199"/>
      <c r="B82" s="199"/>
      <c r="C82" s="199"/>
      <c r="D82" s="199"/>
      <c r="E82" s="199"/>
      <c r="F82" s="199"/>
      <c r="G82" s="199"/>
      <c r="H82" s="199"/>
      <c r="I82" s="199"/>
      <c r="J82" s="199"/>
      <c r="K82" s="199"/>
      <c r="L82" s="199"/>
      <c r="M82" s="199"/>
      <c r="N82" s="199"/>
    </row>
    <row r="83" spans="1:14" x14ac:dyDescent="0.35">
      <c r="A83" s="199"/>
      <c r="B83" s="199"/>
      <c r="C83" s="199"/>
      <c r="D83" s="199"/>
      <c r="E83" s="199"/>
      <c r="F83" s="199"/>
      <c r="G83" s="199"/>
      <c r="H83" s="199"/>
      <c r="I83" s="199"/>
      <c r="J83" s="199"/>
      <c r="K83" s="199"/>
      <c r="L83" s="199"/>
      <c r="M83" s="199"/>
      <c r="N83" s="199"/>
    </row>
    <row r="84" spans="1:14" x14ac:dyDescent="0.35">
      <c r="A84" s="199"/>
      <c r="B84" s="199"/>
      <c r="C84" s="199"/>
      <c r="D84" s="199"/>
      <c r="E84" s="199"/>
      <c r="F84" s="199"/>
      <c r="G84" s="199"/>
      <c r="H84" s="199"/>
      <c r="I84" s="199"/>
      <c r="J84" s="199"/>
      <c r="K84" s="199"/>
      <c r="L84" s="199"/>
      <c r="M84" s="199"/>
      <c r="N84" s="199"/>
    </row>
    <row r="85" spans="1:14" x14ac:dyDescent="0.35">
      <c r="A85" s="199"/>
      <c r="B85" s="199"/>
      <c r="C85" s="199"/>
      <c r="D85" s="199"/>
      <c r="E85" s="199"/>
      <c r="F85" s="199"/>
      <c r="G85" s="199"/>
      <c r="H85" s="199"/>
      <c r="I85" s="199"/>
      <c r="J85" s="199"/>
      <c r="K85" s="199"/>
      <c r="L85" s="199"/>
      <c r="M85" s="199"/>
      <c r="N85" s="199"/>
    </row>
    <row r="86" spans="1:14" x14ac:dyDescent="0.35">
      <c r="A86" s="199"/>
      <c r="B86" s="199"/>
      <c r="C86" s="199"/>
      <c r="D86" s="199"/>
      <c r="E86" s="199"/>
      <c r="F86" s="199"/>
      <c r="G86" s="199"/>
      <c r="H86" s="199"/>
      <c r="I86" s="199"/>
      <c r="J86" s="199"/>
      <c r="K86" s="199"/>
      <c r="L86" s="199"/>
      <c r="M86" s="199"/>
      <c r="N86" s="199"/>
    </row>
    <row r="87" spans="1:14" x14ac:dyDescent="0.35">
      <c r="A87" s="199"/>
      <c r="B87" s="199"/>
      <c r="C87" s="199"/>
      <c r="D87" s="199"/>
      <c r="E87" s="199"/>
      <c r="F87" s="199"/>
      <c r="G87" s="199"/>
      <c r="H87" s="199"/>
      <c r="I87" s="199"/>
      <c r="J87" s="199"/>
      <c r="K87" s="199"/>
      <c r="L87" s="199"/>
      <c r="M87" s="199"/>
      <c r="N87" s="199"/>
    </row>
    <row r="88" spans="1:14" x14ac:dyDescent="0.35">
      <c r="A88" s="199"/>
      <c r="B88" s="199"/>
      <c r="C88" s="199"/>
      <c r="D88" s="199"/>
      <c r="E88" s="199"/>
      <c r="F88" s="199"/>
      <c r="G88" s="199"/>
      <c r="H88" s="199"/>
      <c r="I88" s="199"/>
      <c r="J88" s="199"/>
      <c r="K88" s="199"/>
      <c r="L88" s="199"/>
      <c r="M88" s="199"/>
      <c r="N88" s="199"/>
    </row>
    <row r="89" spans="1:14" x14ac:dyDescent="0.35">
      <c r="A89" s="199"/>
      <c r="B89" s="199"/>
      <c r="C89" s="199"/>
      <c r="D89" s="199"/>
      <c r="E89" s="199"/>
      <c r="F89" s="199"/>
      <c r="G89" s="199"/>
      <c r="H89" s="199"/>
      <c r="I89" s="199"/>
      <c r="J89" s="199"/>
      <c r="K89" s="199"/>
      <c r="L89" s="199"/>
      <c r="M89" s="199"/>
      <c r="N89" s="199"/>
    </row>
    <row r="90" spans="1:14" x14ac:dyDescent="0.35">
      <c r="A90" s="199"/>
      <c r="B90" s="199"/>
      <c r="C90" s="199"/>
      <c r="D90" s="199"/>
      <c r="E90" s="199"/>
      <c r="F90" s="199"/>
      <c r="G90" s="199"/>
      <c r="H90" s="199"/>
      <c r="I90" s="199"/>
      <c r="J90" s="199"/>
      <c r="K90" s="199"/>
      <c r="L90" s="199"/>
      <c r="M90" s="199"/>
      <c r="N90" s="199"/>
    </row>
    <row r="91" spans="1:14" x14ac:dyDescent="0.35">
      <c r="A91" s="199"/>
      <c r="B91" s="199"/>
      <c r="C91" s="199"/>
      <c r="D91" s="199"/>
      <c r="E91" s="199"/>
      <c r="F91" s="199"/>
      <c r="G91" s="199"/>
      <c r="H91" s="199"/>
      <c r="I91" s="199"/>
      <c r="J91" s="199"/>
      <c r="K91" s="199"/>
      <c r="L91" s="199"/>
      <c r="M91" s="199"/>
      <c r="N91" s="199"/>
    </row>
    <row r="92" spans="1:14" x14ac:dyDescent="0.35">
      <c r="A92" s="199"/>
      <c r="B92" s="199"/>
      <c r="C92" s="199"/>
      <c r="D92" s="199"/>
      <c r="E92" s="199"/>
      <c r="F92" s="199"/>
      <c r="G92" s="199"/>
      <c r="H92" s="199"/>
      <c r="I92" s="199"/>
      <c r="J92" s="199"/>
      <c r="K92" s="199"/>
      <c r="L92" s="199"/>
      <c r="M92" s="199"/>
      <c r="N92" s="199"/>
    </row>
    <row r="93" spans="1:14" x14ac:dyDescent="0.35">
      <c r="A93" s="199"/>
      <c r="B93" s="199"/>
      <c r="C93" s="199"/>
      <c r="D93" s="199"/>
      <c r="E93" s="199"/>
      <c r="F93" s="199"/>
      <c r="G93" s="199"/>
      <c r="H93" s="199"/>
      <c r="I93" s="199"/>
      <c r="J93" s="199"/>
      <c r="K93" s="199"/>
      <c r="L93" s="199"/>
      <c r="M93" s="199"/>
      <c r="N93" s="199"/>
    </row>
    <row r="94" spans="1:14" x14ac:dyDescent="0.35">
      <c r="A94" s="199"/>
      <c r="B94" s="199"/>
      <c r="C94" s="199"/>
      <c r="D94" s="199"/>
      <c r="E94" s="199"/>
      <c r="F94" s="199"/>
      <c r="G94" s="199"/>
      <c r="H94" s="199"/>
      <c r="I94" s="199"/>
      <c r="J94" s="199"/>
      <c r="K94" s="199"/>
      <c r="L94" s="199"/>
      <c r="M94" s="199"/>
      <c r="N94" s="199"/>
    </row>
    <row r="95" spans="1:14" x14ac:dyDescent="0.35">
      <c r="A95" s="199"/>
      <c r="B95" s="199"/>
      <c r="C95" s="199"/>
      <c r="D95" s="199"/>
      <c r="E95" s="199"/>
      <c r="F95" s="199"/>
      <c r="G95" s="199"/>
      <c r="H95" s="199"/>
      <c r="I95" s="199"/>
      <c r="J95" s="199"/>
      <c r="K95" s="199"/>
      <c r="L95" s="199"/>
      <c r="M95" s="199"/>
      <c r="N95" s="199"/>
    </row>
    <row r="96" spans="1:14" x14ac:dyDescent="0.35">
      <c r="A96" s="199"/>
      <c r="B96" s="199"/>
      <c r="C96" s="199"/>
      <c r="D96" s="199"/>
      <c r="E96" s="199"/>
      <c r="F96" s="199"/>
      <c r="G96" s="199"/>
      <c r="H96" s="199"/>
      <c r="I96" s="199"/>
      <c r="J96" s="199"/>
      <c r="K96" s="199"/>
      <c r="L96" s="199"/>
      <c r="M96" s="199"/>
      <c r="N96" s="199"/>
    </row>
    <row r="97" spans="1:14" x14ac:dyDescent="0.35">
      <c r="A97" s="199"/>
      <c r="B97" s="199"/>
      <c r="C97" s="199"/>
      <c r="D97" s="199"/>
      <c r="E97" s="199"/>
      <c r="F97" s="199"/>
      <c r="G97" s="199"/>
      <c r="H97" s="199"/>
      <c r="I97" s="199"/>
      <c r="J97" s="199"/>
      <c r="K97" s="199"/>
      <c r="L97" s="199"/>
      <c r="M97" s="199"/>
      <c r="N97" s="199"/>
    </row>
    <row r="98" spans="1:14" x14ac:dyDescent="0.35">
      <c r="A98" s="199"/>
      <c r="B98" s="199"/>
      <c r="C98" s="199"/>
      <c r="D98" s="199"/>
      <c r="E98" s="199"/>
      <c r="F98" s="199"/>
      <c r="G98" s="199"/>
      <c r="H98" s="199"/>
      <c r="I98" s="199"/>
      <c r="J98" s="199"/>
      <c r="K98" s="199"/>
      <c r="L98" s="199"/>
      <c r="M98" s="199"/>
      <c r="N98" s="199"/>
    </row>
    <row r="99" spans="1:14" x14ac:dyDescent="0.35">
      <c r="A99" s="199"/>
      <c r="B99" s="199"/>
      <c r="C99" s="199"/>
      <c r="D99" s="199"/>
      <c r="E99" s="199"/>
      <c r="F99" s="199"/>
      <c r="G99" s="199"/>
      <c r="H99" s="199"/>
      <c r="I99" s="199"/>
      <c r="J99" s="199"/>
      <c r="K99" s="199"/>
      <c r="L99" s="199"/>
      <c r="M99" s="199"/>
      <c r="N99" s="199"/>
    </row>
    <row r="100" spans="1:14" x14ac:dyDescent="0.35">
      <c r="A100" s="199"/>
      <c r="B100" s="199"/>
      <c r="C100" s="199"/>
      <c r="D100" s="199"/>
      <c r="E100" s="199"/>
      <c r="F100" s="199"/>
      <c r="G100" s="199"/>
      <c r="H100" s="199"/>
      <c r="I100" s="199"/>
      <c r="J100" s="199"/>
      <c r="K100" s="199"/>
      <c r="L100" s="199"/>
      <c r="M100" s="199"/>
      <c r="N100" s="199"/>
    </row>
    <row r="101" spans="1:14" x14ac:dyDescent="0.35">
      <c r="A101" s="199"/>
      <c r="B101" s="199"/>
      <c r="C101" s="199"/>
      <c r="D101" s="199"/>
      <c r="E101" s="199"/>
      <c r="F101" s="199"/>
      <c r="G101" s="199"/>
      <c r="H101" s="199"/>
      <c r="I101" s="199"/>
      <c r="J101" s="199"/>
      <c r="K101" s="199"/>
      <c r="L101" s="199"/>
      <c r="M101" s="199"/>
      <c r="N101" s="199"/>
    </row>
    <row r="102" spans="1:14" x14ac:dyDescent="0.35">
      <c r="A102" s="199"/>
      <c r="B102" s="199"/>
      <c r="C102" s="199"/>
      <c r="D102" s="199"/>
      <c r="E102" s="199"/>
      <c r="F102" s="199"/>
      <c r="G102" s="199"/>
      <c r="H102" s="199"/>
      <c r="I102" s="199"/>
      <c r="J102" s="199"/>
      <c r="K102" s="199"/>
      <c r="L102" s="199"/>
      <c r="M102" s="199"/>
      <c r="N102" s="199"/>
    </row>
    <row r="103" spans="1:14" x14ac:dyDescent="0.35">
      <c r="A103" s="199"/>
      <c r="B103" s="199"/>
      <c r="C103" s="199"/>
      <c r="D103" s="199"/>
      <c r="E103" s="199"/>
      <c r="F103" s="199"/>
      <c r="G103" s="199"/>
      <c r="H103" s="199"/>
      <c r="I103" s="199"/>
      <c r="J103" s="199"/>
      <c r="K103" s="199"/>
      <c r="L103" s="199"/>
      <c r="M103" s="199"/>
      <c r="N103" s="199"/>
    </row>
    <row r="104" spans="1:14" x14ac:dyDescent="0.35">
      <c r="A104" s="199"/>
      <c r="B104" s="199"/>
      <c r="C104" s="199"/>
      <c r="D104" s="199"/>
      <c r="E104" s="199"/>
      <c r="F104" s="199"/>
      <c r="G104" s="199"/>
      <c r="H104" s="199"/>
      <c r="I104" s="199"/>
      <c r="J104" s="199"/>
      <c r="K104" s="199"/>
      <c r="L104" s="199"/>
      <c r="M104" s="199"/>
      <c r="N104" s="199"/>
    </row>
    <row r="105" spans="1:14" x14ac:dyDescent="0.35">
      <c r="A105" s="199"/>
      <c r="B105" s="199"/>
      <c r="C105" s="199"/>
      <c r="D105" s="199"/>
      <c r="E105" s="199"/>
      <c r="F105" s="199"/>
      <c r="G105" s="199"/>
      <c r="H105" s="199"/>
      <c r="I105" s="199"/>
      <c r="J105" s="199"/>
      <c r="K105" s="199"/>
      <c r="L105" s="199"/>
      <c r="M105" s="199"/>
      <c r="N105" s="199"/>
    </row>
    <row r="106" spans="1:14" x14ac:dyDescent="0.35">
      <c r="A106" s="199"/>
      <c r="B106" s="199"/>
      <c r="C106" s="199"/>
      <c r="D106" s="199"/>
      <c r="E106" s="199"/>
      <c r="F106" s="199"/>
      <c r="G106" s="199"/>
      <c r="H106" s="199"/>
      <c r="I106" s="199"/>
      <c r="J106" s="199"/>
      <c r="K106" s="199"/>
      <c r="L106" s="199"/>
      <c r="M106" s="199"/>
      <c r="N106" s="199"/>
    </row>
    <row r="107" spans="1:14" x14ac:dyDescent="0.35">
      <c r="A107" s="199"/>
      <c r="B107" s="199"/>
      <c r="C107" s="199"/>
      <c r="D107" s="199"/>
      <c r="E107" s="199"/>
      <c r="F107" s="199"/>
      <c r="G107" s="199"/>
      <c r="H107" s="199"/>
      <c r="I107" s="199"/>
      <c r="J107" s="199"/>
      <c r="K107" s="199"/>
      <c r="L107" s="199"/>
      <c r="M107" s="199"/>
      <c r="N107" s="199"/>
    </row>
    <row r="108" spans="1:14" x14ac:dyDescent="0.35">
      <c r="A108" s="199"/>
      <c r="B108" s="199"/>
      <c r="C108" s="199"/>
      <c r="D108" s="199"/>
      <c r="E108" s="199"/>
      <c r="F108" s="199"/>
      <c r="G108" s="199"/>
      <c r="H108" s="199"/>
      <c r="I108" s="199"/>
      <c r="J108" s="199"/>
      <c r="K108" s="199"/>
      <c r="L108" s="199"/>
      <c r="M108" s="199"/>
      <c r="N108" s="199"/>
    </row>
    <row r="109" spans="1:14" x14ac:dyDescent="0.35">
      <c r="A109" s="199"/>
      <c r="B109" s="199"/>
      <c r="C109" s="199"/>
      <c r="D109" s="199"/>
      <c r="E109" s="199"/>
      <c r="F109" s="199"/>
      <c r="G109" s="199"/>
      <c r="H109" s="199"/>
      <c r="I109" s="199"/>
      <c r="J109" s="199"/>
      <c r="K109" s="199"/>
      <c r="L109" s="199"/>
      <c r="M109" s="199"/>
      <c r="N109" s="199"/>
    </row>
    <row r="110" spans="1:14" x14ac:dyDescent="0.35">
      <c r="A110" s="199"/>
      <c r="B110" s="199"/>
      <c r="C110" s="199"/>
      <c r="D110" s="199"/>
      <c r="E110" s="199"/>
      <c r="F110" s="199"/>
      <c r="G110" s="199"/>
      <c r="H110" s="199"/>
      <c r="I110" s="199"/>
      <c r="J110" s="199"/>
      <c r="K110" s="199"/>
      <c r="L110" s="199"/>
      <c r="M110" s="199"/>
      <c r="N110" s="199"/>
    </row>
    <row r="111" spans="1:14" x14ac:dyDescent="0.35">
      <c r="A111" s="199"/>
      <c r="B111" s="199"/>
      <c r="C111" s="199"/>
      <c r="D111" s="199"/>
      <c r="E111" s="199"/>
      <c r="F111" s="199"/>
      <c r="G111" s="199"/>
      <c r="H111" s="199"/>
      <c r="I111" s="199"/>
      <c r="J111" s="199"/>
      <c r="K111" s="199"/>
      <c r="L111" s="199"/>
      <c r="M111" s="199"/>
      <c r="N111" s="199"/>
    </row>
    <row r="112" spans="1:14" x14ac:dyDescent="0.35">
      <c r="A112" s="199"/>
      <c r="B112" s="199"/>
      <c r="C112" s="199"/>
      <c r="D112" s="199"/>
      <c r="E112" s="199"/>
      <c r="F112" s="199"/>
      <c r="G112" s="199"/>
      <c r="H112" s="199"/>
      <c r="I112" s="199"/>
      <c r="J112" s="199"/>
      <c r="K112" s="199"/>
      <c r="L112" s="199"/>
      <c r="M112" s="199"/>
      <c r="N112" s="199"/>
    </row>
    <row r="113" spans="1:14" x14ac:dyDescent="0.35">
      <c r="A113" s="199"/>
      <c r="B113" s="199"/>
      <c r="C113" s="199"/>
      <c r="D113" s="199"/>
      <c r="E113" s="199"/>
      <c r="F113" s="199"/>
      <c r="G113" s="199"/>
      <c r="H113" s="199"/>
      <c r="I113" s="199"/>
      <c r="J113" s="199"/>
      <c r="K113" s="199"/>
      <c r="L113" s="199"/>
      <c r="M113" s="199"/>
      <c r="N113" s="199"/>
    </row>
    <row r="114" spans="1:14" x14ac:dyDescent="0.35">
      <c r="A114" s="199"/>
      <c r="B114" s="199"/>
      <c r="C114" s="199"/>
      <c r="D114" s="199"/>
      <c r="E114" s="199"/>
      <c r="F114" s="199"/>
      <c r="G114" s="199"/>
      <c r="H114" s="199"/>
      <c r="I114" s="199"/>
      <c r="J114" s="199"/>
      <c r="K114" s="199"/>
      <c r="L114" s="199"/>
      <c r="M114" s="199"/>
      <c r="N114" s="199"/>
    </row>
    <row r="115" spans="1:14" x14ac:dyDescent="0.35">
      <c r="A115" s="199"/>
      <c r="B115" s="199"/>
      <c r="C115" s="199"/>
      <c r="D115" s="199"/>
      <c r="E115" s="199"/>
      <c r="F115" s="199"/>
      <c r="G115" s="199"/>
      <c r="H115" s="199"/>
      <c r="I115" s="199"/>
      <c r="J115" s="199"/>
      <c r="K115" s="199"/>
      <c r="L115" s="199"/>
      <c r="M115" s="199"/>
      <c r="N115" s="199"/>
    </row>
    <row r="116" spans="1:14" x14ac:dyDescent="0.35">
      <c r="A116" s="199"/>
      <c r="B116" s="199"/>
      <c r="C116" s="199"/>
      <c r="D116" s="199"/>
      <c r="E116" s="199"/>
      <c r="F116" s="199"/>
      <c r="G116" s="199"/>
      <c r="H116" s="199"/>
      <c r="I116" s="199"/>
      <c r="J116" s="199"/>
      <c r="K116" s="199"/>
      <c r="L116" s="199"/>
      <c r="M116" s="199"/>
      <c r="N116" s="199"/>
    </row>
    <row r="117" spans="1:14" x14ac:dyDescent="0.35">
      <c r="A117" s="199"/>
      <c r="B117" s="199"/>
      <c r="C117" s="199"/>
      <c r="D117" s="199"/>
      <c r="E117" s="199"/>
      <c r="F117" s="199"/>
      <c r="G117" s="199"/>
      <c r="H117" s="199"/>
      <c r="I117" s="199"/>
      <c r="J117" s="199"/>
      <c r="K117" s="199"/>
      <c r="L117" s="199"/>
      <c r="M117" s="199"/>
      <c r="N117" s="199"/>
    </row>
    <row r="118" spans="1:14" x14ac:dyDescent="0.35">
      <c r="A118" s="199"/>
      <c r="B118" s="199"/>
      <c r="C118" s="199"/>
      <c r="D118" s="199"/>
      <c r="E118" s="199"/>
      <c r="F118" s="199"/>
      <c r="G118" s="199"/>
      <c r="H118" s="199"/>
      <c r="I118" s="199"/>
      <c r="J118" s="199"/>
      <c r="K118" s="199"/>
      <c r="L118" s="199"/>
      <c r="M118" s="199"/>
      <c r="N118" s="199"/>
    </row>
    <row r="119" spans="1:14" x14ac:dyDescent="0.35">
      <c r="A119" s="199"/>
      <c r="B119" s="199"/>
      <c r="C119" s="199"/>
      <c r="D119" s="199"/>
      <c r="E119" s="199"/>
      <c r="F119" s="199"/>
      <c r="G119" s="199"/>
      <c r="H119" s="199"/>
      <c r="I119" s="199"/>
      <c r="J119" s="199"/>
      <c r="K119" s="199"/>
      <c r="L119" s="199"/>
      <c r="M119" s="199"/>
      <c r="N119" s="199"/>
    </row>
    <row r="120" spans="1:14" x14ac:dyDescent="0.35">
      <c r="A120" s="199"/>
      <c r="B120" s="199"/>
      <c r="C120" s="199"/>
      <c r="D120" s="199"/>
      <c r="E120" s="199"/>
      <c r="F120" s="199"/>
      <c r="G120" s="199"/>
      <c r="H120" s="199"/>
      <c r="I120" s="199"/>
      <c r="J120" s="199"/>
      <c r="K120" s="199"/>
      <c r="L120" s="199"/>
      <c r="M120" s="199"/>
      <c r="N120" s="199"/>
    </row>
    <row r="121" spans="1:14" x14ac:dyDescent="0.35">
      <c r="A121" s="199"/>
      <c r="B121" s="199"/>
      <c r="C121" s="199"/>
      <c r="D121" s="199"/>
      <c r="E121" s="199"/>
      <c r="F121" s="199"/>
      <c r="G121" s="199"/>
      <c r="H121" s="199"/>
      <c r="I121" s="199"/>
      <c r="J121" s="199"/>
      <c r="K121" s="199"/>
      <c r="L121" s="199"/>
      <c r="M121" s="199"/>
      <c r="N121" s="199"/>
    </row>
    <row r="122" spans="1:14" x14ac:dyDescent="0.35">
      <c r="A122" s="199"/>
      <c r="B122" s="199"/>
      <c r="C122" s="199"/>
      <c r="D122" s="199"/>
      <c r="E122" s="199"/>
      <c r="F122" s="199"/>
      <c r="G122" s="199"/>
      <c r="H122" s="199"/>
      <c r="I122" s="199"/>
      <c r="J122" s="199"/>
      <c r="K122" s="199"/>
      <c r="L122" s="199"/>
      <c r="M122" s="199"/>
      <c r="N122" s="199"/>
    </row>
    <row r="123" spans="1:14" x14ac:dyDescent="0.35">
      <c r="A123" s="199"/>
      <c r="B123" s="199"/>
      <c r="C123" s="199"/>
      <c r="D123" s="199"/>
      <c r="E123" s="199"/>
      <c r="F123" s="199"/>
      <c r="G123" s="199"/>
      <c r="H123" s="199"/>
      <c r="I123" s="199"/>
      <c r="J123" s="199"/>
      <c r="K123" s="199"/>
      <c r="L123" s="199"/>
      <c r="M123" s="199"/>
      <c r="N123" s="199"/>
    </row>
    <row r="124" spans="1:14" x14ac:dyDescent="0.35">
      <c r="A124" s="199"/>
      <c r="B124" s="199"/>
      <c r="C124" s="199"/>
      <c r="D124" s="199"/>
      <c r="E124" s="199"/>
      <c r="F124" s="199"/>
      <c r="G124" s="199"/>
      <c r="H124" s="199"/>
      <c r="I124" s="199"/>
      <c r="J124" s="199"/>
      <c r="K124" s="199"/>
      <c r="L124" s="199"/>
      <c r="M124" s="199"/>
      <c r="N124" s="199"/>
    </row>
    <row r="125" spans="1:14" x14ac:dyDescent="0.35">
      <c r="A125" s="199"/>
      <c r="B125" s="199"/>
      <c r="C125" s="199"/>
      <c r="D125" s="199"/>
      <c r="E125" s="199"/>
      <c r="F125" s="199"/>
      <c r="G125" s="199"/>
      <c r="H125" s="199"/>
      <c r="I125" s="199"/>
      <c r="J125" s="199"/>
      <c r="K125" s="199"/>
      <c r="L125" s="199"/>
      <c r="M125" s="199"/>
      <c r="N125" s="199"/>
    </row>
    <row r="126" spans="1:14" x14ac:dyDescent="0.35">
      <c r="A126" s="199"/>
      <c r="B126" s="199"/>
      <c r="C126" s="199"/>
      <c r="D126" s="199"/>
      <c r="E126" s="199"/>
      <c r="F126" s="199"/>
      <c r="G126" s="199"/>
      <c r="H126" s="199"/>
      <c r="I126" s="199"/>
      <c r="J126" s="199"/>
      <c r="K126" s="199"/>
      <c r="L126" s="199"/>
      <c r="M126" s="199"/>
      <c r="N126" s="199"/>
    </row>
    <row r="127" spans="1:14" x14ac:dyDescent="0.35">
      <c r="A127" s="199"/>
      <c r="B127" s="199"/>
      <c r="C127" s="199"/>
      <c r="D127" s="199"/>
      <c r="E127" s="199"/>
      <c r="F127" s="199"/>
      <c r="G127" s="199"/>
      <c r="H127" s="199"/>
      <c r="I127" s="199"/>
      <c r="J127" s="199"/>
      <c r="K127" s="199"/>
      <c r="L127" s="199"/>
      <c r="M127" s="199"/>
      <c r="N127" s="199"/>
    </row>
    <row r="128" spans="1:14" x14ac:dyDescent="0.35">
      <c r="A128" s="199"/>
      <c r="B128" s="199"/>
      <c r="C128" s="199"/>
      <c r="D128" s="199"/>
      <c r="E128" s="199"/>
      <c r="F128" s="199"/>
      <c r="G128" s="199"/>
      <c r="H128" s="199"/>
      <c r="I128" s="199"/>
      <c r="J128" s="199"/>
      <c r="K128" s="199"/>
      <c r="L128" s="199"/>
      <c r="M128" s="199"/>
      <c r="N128" s="199"/>
    </row>
    <row r="129" spans="1:14" x14ac:dyDescent="0.35">
      <c r="A129" s="199"/>
      <c r="B129" s="199"/>
      <c r="C129" s="199"/>
      <c r="D129" s="199"/>
      <c r="E129" s="199"/>
      <c r="F129" s="199"/>
      <c r="G129" s="199"/>
      <c r="H129" s="199"/>
      <c r="I129" s="199"/>
      <c r="J129" s="199"/>
      <c r="K129" s="199"/>
      <c r="L129" s="199"/>
      <c r="M129" s="199"/>
      <c r="N129" s="199"/>
    </row>
    <row r="130" spans="1:14" x14ac:dyDescent="0.35">
      <c r="A130" s="199"/>
      <c r="B130" s="199"/>
      <c r="C130" s="199"/>
      <c r="D130" s="199"/>
      <c r="E130" s="199"/>
      <c r="F130" s="199"/>
      <c r="G130" s="199"/>
      <c r="H130" s="199"/>
      <c r="I130" s="199"/>
      <c r="J130" s="199"/>
      <c r="K130" s="199"/>
      <c r="L130" s="199"/>
      <c r="M130" s="199"/>
      <c r="N130" s="199"/>
    </row>
    <row r="131" spans="1:14" x14ac:dyDescent="0.35">
      <c r="A131" s="199"/>
      <c r="B131" s="199"/>
      <c r="C131" s="199"/>
      <c r="D131" s="199"/>
      <c r="E131" s="199"/>
      <c r="F131" s="199"/>
      <c r="G131" s="199"/>
      <c r="H131" s="199"/>
      <c r="I131" s="199"/>
      <c r="J131" s="199"/>
      <c r="K131" s="199"/>
      <c r="L131" s="199"/>
      <c r="M131" s="199"/>
      <c r="N131" s="199"/>
    </row>
    <row r="132" spans="1:14" x14ac:dyDescent="0.35">
      <c r="A132" s="199"/>
      <c r="B132" s="199"/>
      <c r="C132" s="199"/>
      <c r="D132" s="199"/>
      <c r="E132" s="199"/>
      <c r="F132" s="199"/>
      <c r="G132" s="199"/>
      <c r="H132" s="199"/>
      <c r="I132" s="199"/>
      <c r="J132" s="199"/>
      <c r="K132" s="199"/>
      <c r="L132" s="199"/>
      <c r="M132" s="199"/>
      <c r="N132" s="199"/>
    </row>
    <row r="133" spans="1:14" x14ac:dyDescent="0.35">
      <c r="A133" s="199"/>
      <c r="B133" s="199"/>
      <c r="C133" s="199"/>
      <c r="D133" s="199"/>
      <c r="E133" s="199"/>
      <c r="F133" s="199"/>
      <c r="G133" s="199"/>
      <c r="H133" s="199"/>
      <c r="I133" s="199"/>
      <c r="J133" s="199"/>
      <c r="K133" s="199"/>
      <c r="L133" s="199"/>
      <c r="M133" s="199"/>
      <c r="N133" s="199"/>
    </row>
    <row r="134" spans="1:14" x14ac:dyDescent="0.35">
      <c r="A134" s="199"/>
      <c r="B134" s="199"/>
      <c r="C134" s="199"/>
      <c r="D134" s="199"/>
      <c r="E134" s="199"/>
      <c r="F134" s="199"/>
      <c r="G134" s="199"/>
      <c r="H134" s="199"/>
      <c r="I134" s="199"/>
      <c r="J134" s="199"/>
      <c r="K134" s="199"/>
      <c r="L134" s="199"/>
      <c r="M134" s="199"/>
      <c r="N134" s="199"/>
    </row>
    <row r="135" spans="1:14" x14ac:dyDescent="0.35">
      <c r="A135" s="199"/>
      <c r="B135" s="199"/>
      <c r="C135" s="199"/>
      <c r="D135" s="199"/>
      <c r="E135" s="199"/>
      <c r="F135" s="199"/>
      <c r="G135" s="199"/>
      <c r="H135" s="199"/>
      <c r="I135" s="199"/>
      <c r="J135" s="199"/>
      <c r="K135" s="199"/>
      <c r="L135" s="199"/>
      <c r="M135" s="199"/>
      <c r="N135" s="199"/>
    </row>
    <row r="136" spans="1:14" x14ac:dyDescent="0.35">
      <c r="A136" s="199"/>
      <c r="B136" s="199"/>
      <c r="C136" s="199"/>
      <c r="D136" s="199"/>
      <c r="E136" s="199"/>
      <c r="F136" s="199"/>
      <c r="G136" s="199"/>
      <c r="H136" s="199"/>
      <c r="I136" s="199"/>
      <c r="J136" s="199"/>
      <c r="K136" s="199"/>
      <c r="L136" s="199"/>
      <c r="M136" s="199"/>
      <c r="N136" s="199"/>
    </row>
    <row r="137" spans="1:14" x14ac:dyDescent="0.35">
      <c r="A137" s="199"/>
      <c r="B137" s="199"/>
      <c r="C137" s="199"/>
      <c r="D137" s="199"/>
      <c r="E137" s="199"/>
      <c r="F137" s="199"/>
      <c r="G137" s="199"/>
      <c r="H137" s="199"/>
      <c r="I137" s="199"/>
      <c r="J137" s="199"/>
      <c r="K137" s="199"/>
      <c r="L137" s="199"/>
      <c r="M137" s="199"/>
      <c r="N137" s="199"/>
    </row>
    <row r="138" spans="1:14" x14ac:dyDescent="0.35">
      <c r="A138" s="199"/>
      <c r="B138" s="199"/>
      <c r="C138" s="199"/>
      <c r="D138" s="199"/>
      <c r="E138" s="199"/>
      <c r="F138" s="199"/>
      <c r="G138" s="199"/>
      <c r="H138" s="199"/>
      <c r="I138" s="199"/>
      <c r="J138" s="199"/>
      <c r="K138" s="199"/>
      <c r="L138" s="199"/>
      <c r="M138" s="199"/>
      <c r="N138" s="199"/>
    </row>
    <row r="139" spans="1:14" x14ac:dyDescent="0.35">
      <c r="A139" s="199"/>
      <c r="B139" s="199"/>
      <c r="C139" s="199"/>
      <c r="D139" s="199"/>
      <c r="E139" s="199"/>
      <c r="F139" s="199"/>
      <c r="G139" s="199"/>
      <c r="H139" s="199"/>
      <c r="I139" s="199"/>
      <c r="J139" s="199"/>
      <c r="K139" s="199"/>
      <c r="L139" s="199"/>
      <c r="M139" s="199"/>
      <c r="N139" s="199"/>
    </row>
    <row r="140" spans="1:14" x14ac:dyDescent="0.35">
      <c r="A140" s="199"/>
      <c r="B140" s="199"/>
      <c r="C140" s="199"/>
      <c r="D140" s="199"/>
      <c r="E140" s="199"/>
      <c r="F140" s="199"/>
      <c r="G140" s="199"/>
      <c r="H140" s="199"/>
      <c r="I140" s="199"/>
      <c r="J140" s="199"/>
      <c r="K140" s="199"/>
      <c r="L140" s="199"/>
      <c r="M140" s="199"/>
      <c r="N140" s="199"/>
    </row>
    <row r="141" spans="1:14" x14ac:dyDescent="0.35">
      <c r="A141" s="199"/>
      <c r="B141" s="199"/>
      <c r="C141" s="199"/>
      <c r="D141" s="199"/>
      <c r="E141" s="199"/>
      <c r="F141" s="199"/>
      <c r="G141" s="199"/>
      <c r="H141" s="199"/>
      <c r="I141" s="199"/>
      <c r="J141" s="199"/>
      <c r="K141" s="199"/>
      <c r="L141" s="199"/>
      <c r="M141" s="199"/>
      <c r="N141" s="199"/>
    </row>
    <row r="142" spans="1:14" x14ac:dyDescent="0.35">
      <c r="A142" s="199"/>
      <c r="B142" s="199"/>
      <c r="C142" s="199"/>
      <c r="D142" s="199"/>
      <c r="E142" s="199"/>
      <c r="F142" s="199"/>
      <c r="G142" s="199"/>
      <c r="H142" s="199"/>
      <c r="I142" s="199"/>
      <c r="J142" s="199"/>
      <c r="K142" s="199"/>
      <c r="L142" s="199"/>
      <c r="M142" s="199"/>
      <c r="N142" s="199"/>
    </row>
    <row r="143" spans="1:14" x14ac:dyDescent="0.35">
      <c r="A143" s="199"/>
      <c r="B143" s="199"/>
      <c r="C143" s="199"/>
      <c r="D143" s="199"/>
      <c r="E143" s="199"/>
      <c r="F143" s="199"/>
      <c r="G143" s="199"/>
      <c r="H143" s="199"/>
      <c r="I143" s="199"/>
      <c r="J143" s="199"/>
      <c r="K143" s="199"/>
      <c r="L143" s="199"/>
      <c r="M143" s="199"/>
      <c r="N143" s="199"/>
    </row>
    <row r="144" spans="1:14" x14ac:dyDescent="0.35">
      <c r="A144" s="199"/>
      <c r="B144" s="199"/>
      <c r="C144" s="199"/>
      <c r="D144" s="199"/>
      <c r="E144" s="199"/>
      <c r="F144" s="199"/>
      <c r="G144" s="199"/>
      <c r="H144" s="199"/>
      <c r="I144" s="199"/>
      <c r="J144" s="199"/>
      <c r="K144" s="199"/>
      <c r="L144" s="199"/>
      <c r="M144" s="199"/>
      <c r="N144" s="199"/>
    </row>
    <row r="145" spans="1:14" x14ac:dyDescent="0.35">
      <c r="A145" s="199"/>
      <c r="B145" s="199"/>
      <c r="C145" s="199"/>
      <c r="D145" s="199"/>
      <c r="E145" s="199"/>
      <c r="F145" s="199"/>
      <c r="G145" s="199"/>
      <c r="H145" s="199"/>
      <c r="I145" s="199"/>
      <c r="J145" s="199"/>
      <c r="K145" s="199"/>
      <c r="L145" s="199"/>
      <c r="M145" s="199"/>
      <c r="N145" s="199"/>
    </row>
    <row r="146" spans="1:14" x14ac:dyDescent="0.35">
      <c r="A146" s="199"/>
      <c r="B146" s="199"/>
      <c r="C146" s="199"/>
      <c r="D146" s="199"/>
      <c r="E146" s="199"/>
      <c r="F146" s="199"/>
      <c r="G146" s="199"/>
      <c r="H146" s="199"/>
      <c r="I146" s="199"/>
      <c r="J146" s="199"/>
      <c r="K146" s="199"/>
      <c r="L146" s="199"/>
      <c r="M146" s="199"/>
      <c r="N146" s="199"/>
    </row>
    <row r="147" spans="1:14" x14ac:dyDescent="0.35">
      <c r="A147" s="199"/>
      <c r="B147" s="199"/>
      <c r="C147" s="199"/>
      <c r="D147" s="199"/>
      <c r="E147" s="199"/>
      <c r="F147" s="199"/>
      <c r="G147" s="199"/>
      <c r="H147" s="199"/>
      <c r="I147" s="199"/>
      <c r="J147" s="199"/>
      <c r="K147" s="199"/>
      <c r="L147" s="199"/>
      <c r="M147" s="199"/>
      <c r="N147" s="199"/>
    </row>
    <row r="148" spans="1:14" x14ac:dyDescent="0.35">
      <c r="A148" s="199"/>
      <c r="B148" s="199"/>
      <c r="C148" s="199"/>
      <c r="D148" s="199"/>
      <c r="E148" s="199"/>
      <c r="F148" s="199"/>
      <c r="G148" s="199"/>
      <c r="H148" s="199"/>
      <c r="I148" s="199"/>
      <c r="J148" s="199"/>
      <c r="K148" s="199"/>
      <c r="L148" s="199"/>
      <c r="M148" s="199"/>
      <c r="N148" s="199"/>
    </row>
    <row r="149" spans="1:14" x14ac:dyDescent="0.35">
      <c r="A149" s="199"/>
      <c r="B149" s="199"/>
      <c r="C149" s="199"/>
      <c r="D149" s="199"/>
      <c r="E149" s="199"/>
      <c r="F149" s="199"/>
      <c r="G149" s="199"/>
      <c r="H149" s="199"/>
      <c r="I149" s="199"/>
      <c r="J149" s="199"/>
      <c r="K149" s="199"/>
      <c r="L149" s="199"/>
      <c r="M149" s="199"/>
      <c r="N149" s="199"/>
    </row>
    <row r="150" spans="1:14" x14ac:dyDescent="0.35">
      <c r="A150" s="199"/>
      <c r="B150" s="199"/>
      <c r="C150" s="199"/>
      <c r="D150" s="199"/>
      <c r="E150" s="199"/>
      <c r="F150" s="199"/>
      <c r="G150" s="199"/>
      <c r="H150" s="199"/>
      <c r="I150" s="199"/>
      <c r="J150" s="199"/>
      <c r="K150" s="199"/>
      <c r="L150" s="199"/>
      <c r="M150" s="199"/>
      <c r="N150" s="199"/>
    </row>
    <row r="151" spans="1:14" x14ac:dyDescent="0.35">
      <c r="A151" s="199"/>
      <c r="B151" s="199"/>
      <c r="C151" s="199"/>
      <c r="D151" s="199"/>
      <c r="E151" s="199"/>
      <c r="F151" s="199"/>
      <c r="G151" s="199"/>
      <c r="H151" s="199"/>
      <c r="I151" s="199"/>
      <c r="J151" s="199"/>
      <c r="K151" s="199"/>
      <c r="L151" s="199"/>
      <c r="M151" s="199"/>
      <c r="N151" s="199"/>
    </row>
    <row r="152" spans="1:14" x14ac:dyDescent="0.35">
      <c r="A152" s="199"/>
      <c r="B152" s="199"/>
      <c r="C152" s="199"/>
      <c r="D152" s="199"/>
      <c r="E152" s="199"/>
      <c r="F152" s="199"/>
      <c r="G152" s="199"/>
      <c r="H152" s="199"/>
      <c r="I152" s="199"/>
      <c r="J152" s="199"/>
      <c r="K152" s="199"/>
      <c r="L152" s="199"/>
      <c r="M152" s="199"/>
      <c r="N152" s="199"/>
    </row>
    <row r="153" spans="1:14" x14ac:dyDescent="0.35">
      <c r="A153" s="199"/>
      <c r="B153" s="199"/>
      <c r="C153" s="199"/>
      <c r="D153" s="199"/>
      <c r="E153" s="199"/>
      <c r="F153" s="199"/>
      <c r="G153" s="199"/>
      <c r="H153" s="199"/>
      <c r="I153" s="199"/>
      <c r="J153" s="199"/>
      <c r="K153" s="199"/>
      <c r="L153" s="199"/>
      <c r="M153" s="199"/>
      <c r="N153" s="199"/>
    </row>
    <row r="154" spans="1:14" x14ac:dyDescent="0.35">
      <c r="A154" s="199"/>
      <c r="B154" s="199"/>
      <c r="C154" s="199"/>
      <c r="D154" s="199"/>
      <c r="E154" s="199"/>
      <c r="F154" s="199"/>
      <c r="G154" s="199"/>
      <c r="H154" s="199"/>
      <c r="I154" s="199"/>
      <c r="J154" s="199"/>
      <c r="K154" s="199"/>
      <c r="L154" s="199"/>
      <c r="M154" s="199"/>
      <c r="N154" s="199"/>
    </row>
    <row r="155" spans="1:14" x14ac:dyDescent="0.35">
      <c r="A155" s="199"/>
      <c r="B155" s="199"/>
      <c r="C155" s="199"/>
      <c r="D155" s="199"/>
      <c r="E155" s="199"/>
      <c r="F155" s="199"/>
      <c r="G155" s="199"/>
      <c r="H155" s="199"/>
      <c r="I155" s="199"/>
      <c r="J155" s="199"/>
      <c r="K155" s="199"/>
      <c r="L155" s="199"/>
      <c r="M155" s="199"/>
      <c r="N155" s="199"/>
    </row>
    <row r="156" spans="1:14" x14ac:dyDescent="0.35">
      <c r="A156" s="199"/>
      <c r="B156" s="199"/>
      <c r="C156" s="199"/>
      <c r="D156" s="199"/>
      <c r="E156" s="199"/>
      <c r="F156" s="199"/>
      <c r="G156" s="199"/>
      <c r="H156" s="199"/>
      <c r="I156" s="199"/>
      <c r="J156" s="199"/>
      <c r="K156" s="199"/>
      <c r="L156" s="199"/>
      <c r="M156" s="199"/>
      <c r="N156" s="199"/>
    </row>
    <row r="157" spans="1:14" x14ac:dyDescent="0.35">
      <c r="A157" s="199"/>
      <c r="B157" s="199"/>
      <c r="C157" s="199"/>
      <c r="D157" s="199"/>
      <c r="E157" s="199"/>
      <c r="F157" s="199"/>
      <c r="G157" s="199"/>
      <c r="H157" s="199"/>
      <c r="I157" s="199"/>
      <c r="J157" s="199"/>
      <c r="K157" s="199"/>
      <c r="L157" s="199"/>
      <c r="M157" s="199"/>
      <c r="N157" s="199"/>
    </row>
    <row r="158" spans="1:14" x14ac:dyDescent="0.35">
      <c r="A158" s="199"/>
      <c r="B158" s="199"/>
      <c r="C158" s="199"/>
      <c r="D158" s="199"/>
      <c r="E158" s="199"/>
      <c r="F158" s="199"/>
      <c r="G158" s="199"/>
      <c r="H158" s="199"/>
      <c r="I158" s="199"/>
      <c r="J158" s="199"/>
      <c r="K158" s="199"/>
      <c r="L158" s="199"/>
      <c r="M158" s="199"/>
      <c r="N158" s="199"/>
    </row>
    <row r="159" spans="1:14" x14ac:dyDescent="0.35">
      <c r="A159" s="199"/>
      <c r="B159" s="199"/>
      <c r="C159" s="199"/>
      <c r="D159" s="199"/>
      <c r="E159" s="199"/>
      <c r="F159" s="199"/>
      <c r="G159" s="199"/>
      <c r="H159" s="199"/>
      <c r="I159" s="199"/>
      <c r="J159" s="199"/>
      <c r="K159" s="199"/>
      <c r="L159" s="199"/>
      <c r="M159" s="199"/>
      <c r="N159" s="199"/>
    </row>
    <row r="160" spans="1:14" x14ac:dyDescent="0.35">
      <c r="A160" s="199"/>
      <c r="B160" s="199"/>
      <c r="C160" s="199"/>
      <c r="D160" s="199"/>
      <c r="E160" s="199"/>
      <c r="F160" s="199"/>
      <c r="G160" s="199"/>
      <c r="H160" s="199"/>
      <c r="I160" s="199"/>
      <c r="J160" s="199"/>
      <c r="K160" s="199"/>
      <c r="L160" s="199"/>
      <c r="M160" s="199"/>
      <c r="N160" s="199"/>
    </row>
    <row r="161" spans="1:14" x14ac:dyDescent="0.35">
      <c r="A161" s="199"/>
      <c r="B161" s="199"/>
      <c r="C161" s="199"/>
      <c r="D161" s="199"/>
      <c r="E161" s="199"/>
      <c r="F161" s="199"/>
      <c r="G161" s="199"/>
      <c r="H161" s="199"/>
      <c r="I161" s="199"/>
      <c r="J161" s="199"/>
      <c r="K161" s="199"/>
      <c r="L161" s="199"/>
      <c r="M161" s="199"/>
      <c r="N161" s="199"/>
    </row>
    <row r="162" spans="1:14" x14ac:dyDescent="0.35">
      <c r="A162" s="199"/>
      <c r="B162" s="199"/>
      <c r="C162" s="199"/>
      <c r="D162" s="199"/>
      <c r="E162" s="199"/>
      <c r="F162" s="199"/>
      <c r="G162" s="199"/>
      <c r="H162" s="199"/>
      <c r="I162" s="199"/>
      <c r="J162" s="199"/>
      <c r="K162" s="199"/>
      <c r="L162" s="199"/>
      <c r="M162" s="199"/>
      <c r="N162" s="199"/>
    </row>
    <row r="163" spans="1:14" x14ac:dyDescent="0.35">
      <c r="A163" s="199"/>
      <c r="B163" s="199"/>
      <c r="C163" s="199"/>
      <c r="D163" s="199"/>
      <c r="E163" s="199"/>
      <c r="F163" s="199"/>
      <c r="G163" s="199"/>
      <c r="H163" s="199"/>
      <c r="I163" s="199"/>
      <c r="J163" s="199"/>
      <c r="K163" s="199"/>
      <c r="L163" s="199"/>
      <c r="M163" s="199"/>
      <c r="N163" s="199"/>
    </row>
    <row r="164" spans="1:14" x14ac:dyDescent="0.35">
      <c r="A164" s="199"/>
      <c r="B164" s="199"/>
      <c r="C164" s="199"/>
      <c r="D164" s="199"/>
      <c r="E164" s="199"/>
      <c r="F164" s="199"/>
      <c r="G164" s="199"/>
      <c r="H164" s="199"/>
      <c r="I164" s="199"/>
      <c r="J164" s="199"/>
      <c r="K164" s="199"/>
      <c r="L164" s="199"/>
      <c r="M164" s="199"/>
      <c r="N164" s="199"/>
    </row>
    <row r="165" spans="1:14" x14ac:dyDescent="0.35">
      <c r="A165" s="199"/>
      <c r="B165" s="199"/>
      <c r="C165" s="199"/>
      <c r="D165" s="199"/>
      <c r="E165" s="199"/>
      <c r="F165" s="199"/>
      <c r="G165" s="199"/>
      <c r="H165" s="199"/>
      <c r="I165" s="199"/>
      <c r="J165" s="199"/>
      <c r="K165" s="199"/>
      <c r="L165" s="199"/>
      <c r="M165" s="199"/>
      <c r="N165" s="199"/>
    </row>
    <row r="166" spans="1:14" x14ac:dyDescent="0.35">
      <c r="A166" s="199"/>
      <c r="B166" s="199"/>
      <c r="C166" s="199"/>
      <c r="D166" s="199"/>
      <c r="E166" s="199"/>
      <c r="F166" s="199"/>
      <c r="G166" s="199"/>
      <c r="H166" s="199"/>
      <c r="I166" s="199"/>
      <c r="J166" s="199"/>
      <c r="K166" s="199"/>
      <c r="L166" s="199"/>
      <c r="M166" s="199"/>
      <c r="N166" s="199"/>
    </row>
    <row r="167" spans="1:14" x14ac:dyDescent="0.35">
      <c r="A167" s="199"/>
      <c r="B167" s="199"/>
      <c r="C167" s="199"/>
      <c r="D167" s="199"/>
      <c r="E167" s="199"/>
      <c r="F167" s="199"/>
      <c r="G167" s="199"/>
      <c r="H167" s="199"/>
      <c r="I167" s="199"/>
      <c r="J167" s="199"/>
      <c r="K167" s="199"/>
      <c r="L167" s="199"/>
      <c r="M167" s="199"/>
      <c r="N167" s="199"/>
    </row>
    <row r="168" spans="1:14" x14ac:dyDescent="0.35">
      <c r="A168" s="199"/>
      <c r="B168" s="199"/>
      <c r="C168" s="199"/>
      <c r="D168" s="199"/>
      <c r="E168" s="199"/>
      <c r="F168" s="199"/>
      <c r="G168" s="199"/>
      <c r="H168" s="199"/>
      <c r="I168" s="199"/>
      <c r="J168" s="199"/>
      <c r="K168" s="199"/>
      <c r="L168" s="199"/>
      <c r="M168" s="199"/>
      <c r="N168" s="199"/>
    </row>
    <row r="169" spans="1:14" x14ac:dyDescent="0.35">
      <c r="A169" s="199"/>
      <c r="B169" s="199"/>
      <c r="C169" s="199"/>
      <c r="D169" s="199"/>
      <c r="E169" s="199"/>
      <c r="F169" s="199"/>
      <c r="G169" s="199"/>
      <c r="H169" s="199"/>
      <c r="I169" s="199"/>
      <c r="J169" s="199"/>
      <c r="K169" s="199"/>
      <c r="L169" s="199"/>
      <c r="M169" s="199"/>
      <c r="N169" s="199"/>
    </row>
    <row r="170" spans="1:14" x14ac:dyDescent="0.35">
      <c r="A170" s="199"/>
      <c r="B170" s="199"/>
      <c r="C170" s="199"/>
      <c r="D170" s="199"/>
      <c r="E170" s="199"/>
      <c r="F170" s="199"/>
      <c r="G170" s="199"/>
      <c r="H170" s="199"/>
      <c r="I170" s="199"/>
      <c r="J170" s="199"/>
      <c r="K170" s="199"/>
      <c r="L170" s="199"/>
      <c r="M170" s="199"/>
      <c r="N170" s="199"/>
    </row>
    <row r="171" spans="1:14" x14ac:dyDescent="0.35">
      <c r="A171" s="199"/>
      <c r="B171" s="199"/>
      <c r="C171" s="199"/>
      <c r="D171" s="199"/>
      <c r="E171" s="199"/>
      <c r="F171" s="199"/>
      <c r="G171" s="199"/>
      <c r="H171" s="199"/>
      <c r="I171" s="199"/>
      <c r="J171" s="199"/>
      <c r="K171" s="199"/>
      <c r="L171" s="199"/>
      <c r="M171" s="199"/>
      <c r="N171" s="199"/>
    </row>
    <row r="172" spans="1:14" x14ac:dyDescent="0.35">
      <c r="A172" s="199"/>
      <c r="B172" s="199"/>
      <c r="C172" s="199"/>
      <c r="D172" s="199"/>
      <c r="E172" s="199"/>
      <c r="F172" s="199"/>
      <c r="G172" s="199"/>
      <c r="H172" s="199"/>
      <c r="I172" s="199"/>
      <c r="J172" s="199"/>
      <c r="K172" s="199"/>
      <c r="L172" s="199"/>
      <c r="M172" s="199"/>
      <c r="N172" s="199"/>
    </row>
    <row r="173" spans="1:14" x14ac:dyDescent="0.35">
      <c r="A173" s="199"/>
      <c r="B173" s="199"/>
      <c r="C173" s="199"/>
      <c r="D173" s="199"/>
      <c r="E173" s="199"/>
      <c r="F173" s="199"/>
      <c r="G173" s="199"/>
      <c r="H173" s="199"/>
      <c r="I173" s="199"/>
      <c r="J173" s="199"/>
      <c r="K173" s="199"/>
      <c r="L173" s="199"/>
      <c r="M173" s="199"/>
      <c r="N173" s="199"/>
    </row>
    <row r="174" spans="1:14" x14ac:dyDescent="0.35">
      <c r="A174" s="199"/>
      <c r="B174" s="199"/>
      <c r="C174" s="199"/>
      <c r="D174" s="199"/>
      <c r="E174" s="199"/>
      <c r="F174" s="199"/>
      <c r="G174" s="199"/>
      <c r="H174" s="199"/>
      <c r="I174" s="199"/>
      <c r="J174" s="199"/>
      <c r="K174" s="199"/>
      <c r="L174" s="199"/>
      <c r="M174" s="199"/>
      <c r="N174" s="199"/>
    </row>
    <row r="175" spans="1:14" x14ac:dyDescent="0.35">
      <c r="A175" s="199"/>
      <c r="B175" s="199"/>
      <c r="C175" s="199"/>
      <c r="D175" s="199"/>
      <c r="E175" s="199"/>
      <c r="F175" s="199"/>
      <c r="G175" s="199"/>
      <c r="H175" s="199"/>
      <c r="I175" s="199"/>
      <c r="J175" s="199"/>
      <c r="K175" s="199"/>
      <c r="L175" s="199"/>
      <c r="M175" s="199"/>
      <c r="N175" s="199"/>
    </row>
    <row r="176" spans="1:14" x14ac:dyDescent="0.35">
      <c r="A176" s="199"/>
      <c r="B176" s="199"/>
      <c r="C176" s="199"/>
      <c r="D176" s="199"/>
      <c r="E176" s="199"/>
      <c r="F176" s="199"/>
      <c r="G176" s="199"/>
      <c r="H176" s="199"/>
      <c r="I176" s="199"/>
      <c r="J176" s="199"/>
      <c r="K176" s="199"/>
      <c r="L176" s="199"/>
      <c r="M176" s="199"/>
      <c r="N176" s="199"/>
    </row>
    <row r="177" spans="1:14" x14ac:dyDescent="0.35">
      <c r="A177" s="199"/>
      <c r="B177" s="199"/>
      <c r="C177" s="199"/>
      <c r="D177" s="199"/>
      <c r="E177" s="199"/>
      <c r="F177" s="199"/>
      <c r="G177" s="199"/>
      <c r="H177" s="199"/>
      <c r="I177" s="199"/>
      <c r="J177" s="199"/>
      <c r="K177" s="199"/>
      <c r="L177" s="199"/>
      <c r="M177" s="199"/>
      <c r="N177" s="199"/>
    </row>
    <row r="178" spans="1:14" x14ac:dyDescent="0.35">
      <c r="A178" s="199"/>
      <c r="B178" s="199"/>
      <c r="C178" s="199"/>
      <c r="D178" s="199"/>
      <c r="E178" s="199"/>
      <c r="F178" s="199"/>
      <c r="G178" s="199"/>
      <c r="H178" s="199"/>
      <c r="I178" s="199"/>
      <c r="J178" s="199"/>
      <c r="K178" s="199"/>
      <c r="L178" s="199"/>
      <c r="M178" s="199"/>
      <c r="N178" s="199"/>
    </row>
    <row r="179" spans="1:14" x14ac:dyDescent="0.35">
      <c r="A179" s="199"/>
      <c r="B179" s="199"/>
      <c r="C179" s="199"/>
      <c r="D179" s="199"/>
      <c r="E179" s="199"/>
      <c r="F179" s="199"/>
      <c r="G179" s="199"/>
      <c r="H179" s="199"/>
      <c r="I179" s="199"/>
      <c r="J179" s="199"/>
      <c r="K179" s="199"/>
      <c r="L179" s="199"/>
      <c r="M179" s="199"/>
      <c r="N179" s="199"/>
    </row>
    <row r="180" spans="1:14" x14ac:dyDescent="0.35">
      <c r="A180" s="199"/>
      <c r="B180" s="199"/>
      <c r="C180" s="199"/>
      <c r="D180" s="199"/>
      <c r="E180" s="199"/>
      <c r="F180" s="199"/>
      <c r="G180" s="199"/>
      <c r="H180" s="199"/>
      <c r="I180" s="199"/>
      <c r="J180" s="199"/>
      <c r="K180" s="199"/>
      <c r="L180" s="199"/>
      <c r="M180" s="199"/>
      <c r="N180" s="199"/>
    </row>
    <row r="181" spans="1:14" x14ac:dyDescent="0.35">
      <c r="A181" s="199"/>
      <c r="B181" s="199"/>
      <c r="C181" s="199"/>
      <c r="D181" s="199"/>
      <c r="E181" s="199"/>
      <c r="F181" s="199"/>
      <c r="G181" s="199"/>
      <c r="H181" s="199"/>
      <c r="I181" s="199"/>
      <c r="J181" s="199"/>
      <c r="K181" s="199"/>
      <c r="L181" s="199"/>
      <c r="M181" s="199"/>
      <c r="N181" s="199"/>
    </row>
    <row r="182" spans="1:14" x14ac:dyDescent="0.35">
      <c r="A182" s="199"/>
      <c r="B182" s="199"/>
      <c r="C182" s="199"/>
      <c r="D182" s="199"/>
      <c r="E182" s="199"/>
      <c r="F182" s="199"/>
      <c r="G182" s="199"/>
      <c r="H182" s="199"/>
      <c r="I182" s="199"/>
      <c r="J182" s="199"/>
      <c r="K182" s="199"/>
      <c r="L182" s="199"/>
      <c r="M182" s="199"/>
      <c r="N182" s="199"/>
    </row>
    <row r="183" spans="1:14" x14ac:dyDescent="0.35">
      <c r="A183" s="199"/>
      <c r="B183" s="199"/>
      <c r="C183" s="199"/>
      <c r="D183" s="199"/>
      <c r="E183" s="199"/>
      <c r="F183" s="199"/>
      <c r="G183" s="199"/>
      <c r="H183" s="199"/>
      <c r="I183" s="199"/>
      <c r="J183" s="199"/>
      <c r="K183" s="199"/>
      <c r="L183" s="199"/>
      <c r="M183" s="199"/>
      <c r="N183" s="199"/>
    </row>
    <row r="184" spans="1:14" x14ac:dyDescent="0.35">
      <c r="A184" s="199"/>
      <c r="B184" s="199"/>
      <c r="C184" s="199"/>
      <c r="D184" s="199"/>
      <c r="E184" s="199"/>
      <c r="F184" s="199"/>
      <c r="G184" s="199"/>
      <c r="H184" s="199"/>
      <c r="I184" s="199"/>
      <c r="J184" s="199"/>
      <c r="K184" s="199"/>
      <c r="L184" s="199"/>
      <c r="M184" s="199"/>
      <c r="N184" s="199"/>
    </row>
    <row r="185" spans="1:14" x14ac:dyDescent="0.35">
      <c r="A185" s="199"/>
      <c r="B185" s="199"/>
      <c r="C185" s="199"/>
      <c r="D185" s="199"/>
      <c r="E185" s="199"/>
      <c r="F185" s="199"/>
      <c r="G185" s="199"/>
      <c r="H185" s="199"/>
      <c r="I185" s="199"/>
      <c r="J185" s="199"/>
      <c r="K185" s="199"/>
      <c r="L185" s="199"/>
      <c r="M185" s="199"/>
      <c r="N185" s="199"/>
    </row>
    <row r="186" spans="1:14" x14ac:dyDescent="0.35">
      <c r="A186" s="199"/>
      <c r="B186" s="199"/>
      <c r="C186" s="199"/>
      <c r="D186" s="199"/>
      <c r="E186" s="199"/>
      <c r="F186" s="199"/>
      <c r="G186" s="199"/>
      <c r="H186" s="199"/>
      <c r="I186" s="199"/>
      <c r="J186" s="199"/>
      <c r="K186" s="199"/>
      <c r="L186" s="199"/>
      <c r="M186" s="199"/>
      <c r="N186" s="199"/>
    </row>
    <row r="187" spans="1:14" x14ac:dyDescent="0.35">
      <c r="A187" s="199"/>
      <c r="B187" s="199"/>
      <c r="C187" s="199"/>
      <c r="D187" s="199"/>
      <c r="E187" s="199"/>
      <c r="F187" s="199"/>
      <c r="G187" s="199"/>
      <c r="H187" s="199"/>
      <c r="I187" s="199"/>
      <c r="J187" s="199"/>
      <c r="K187" s="199"/>
      <c r="L187" s="199"/>
      <c r="M187" s="199"/>
      <c r="N187" s="199"/>
    </row>
    <row r="188" spans="1:14" x14ac:dyDescent="0.35">
      <c r="A188" s="199"/>
      <c r="B188" s="199"/>
      <c r="C188" s="199"/>
      <c r="D188" s="199"/>
      <c r="E188" s="199"/>
      <c r="F188" s="199"/>
      <c r="G188" s="199"/>
      <c r="H188" s="199"/>
      <c r="I188" s="199"/>
      <c r="J188" s="199"/>
      <c r="K188" s="199"/>
      <c r="L188" s="199"/>
      <c r="M188" s="199"/>
      <c r="N188" s="199"/>
    </row>
    <row r="189" spans="1:14" x14ac:dyDescent="0.35">
      <c r="A189" s="199"/>
      <c r="B189" s="199"/>
      <c r="C189" s="199"/>
      <c r="D189" s="199"/>
      <c r="E189" s="199"/>
      <c r="F189" s="199"/>
      <c r="G189" s="199"/>
      <c r="H189" s="199"/>
      <c r="I189" s="199"/>
      <c r="J189" s="199"/>
      <c r="K189" s="199"/>
      <c r="L189" s="199"/>
      <c r="M189" s="199"/>
      <c r="N189" s="199"/>
    </row>
    <row r="190" spans="1:14" x14ac:dyDescent="0.35">
      <c r="A190" s="199"/>
      <c r="B190" s="199"/>
      <c r="C190" s="199"/>
      <c r="D190" s="199"/>
      <c r="E190" s="199"/>
      <c r="F190" s="199"/>
      <c r="G190" s="199"/>
      <c r="H190" s="199"/>
      <c r="I190" s="199"/>
      <c r="J190" s="199"/>
      <c r="K190" s="199"/>
      <c r="L190" s="199"/>
      <c r="M190" s="199"/>
      <c r="N190" s="199"/>
    </row>
    <row r="191" spans="1:14" x14ac:dyDescent="0.35">
      <c r="A191" s="199"/>
      <c r="B191" s="199"/>
      <c r="C191" s="199"/>
      <c r="D191" s="199"/>
      <c r="E191" s="199"/>
      <c r="F191" s="199"/>
      <c r="G191" s="199"/>
      <c r="H191" s="199"/>
      <c r="I191" s="199"/>
      <c r="J191" s="199"/>
      <c r="K191" s="199"/>
      <c r="L191" s="199"/>
      <c r="M191" s="199"/>
      <c r="N191" s="199"/>
    </row>
    <row r="192" spans="1:14" x14ac:dyDescent="0.35">
      <c r="A192" s="199"/>
      <c r="B192" s="199"/>
      <c r="C192" s="199"/>
      <c r="D192" s="199"/>
      <c r="E192" s="199"/>
      <c r="F192" s="199"/>
      <c r="G192" s="199"/>
      <c r="H192" s="199"/>
      <c r="I192" s="199"/>
      <c r="J192" s="199"/>
      <c r="K192" s="199"/>
      <c r="L192" s="199"/>
      <c r="M192" s="199"/>
      <c r="N192" s="199"/>
    </row>
    <row r="193" spans="1:14" x14ac:dyDescent="0.35">
      <c r="A193" s="199"/>
      <c r="B193" s="199"/>
      <c r="C193" s="199"/>
      <c r="D193" s="199"/>
      <c r="E193" s="199"/>
      <c r="F193" s="199"/>
      <c r="G193" s="199"/>
      <c r="H193" s="199"/>
      <c r="I193" s="199"/>
      <c r="J193" s="199"/>
      <c r="K193" s="199"/>
      <c r="L193" s="199"/>
      <c r="M193" s="199"/>
      <c r="N193" s="199"/>
    </row>
    <row r="194" spans="1:14" x14ac:dyDescent="0.35">
      <c r="A194" s="199"/>
      <c r="B194" s="199"/>
      <c r="C194" s="199"/>
      <c r="D194" s="199"/>
      <c r="E194" s="199"/>
      <c r="F194" s="199"/>
      <c r="G194" s="199"/>
      <c r="H194" s="199"/>
      <c r="I194" s="199"/>
      <c r="J194" s="199"/>
      <c r="K194" s="199"/>
      <c r="L194" s="199"/>
      <c r="M194" s="199"/>
      <c r="N194" s="199"/>
    </row>
    <row r="195" spans="1:14" x14ac:dyDescent="0.35">
      <c r="A195" s="199"/>
      <c r="B195" s="199"/>
      <c r="C195" s="199"/>
      <c r="D195" s="199"/>
      <c r="E195" s="199"/>
      <c r="F195" s="199"/>
      <c r="G195" s="199"/>
      <c r="H195" s="199"/>
      <c r="I195" s="199"/>
      <c r="J195" s="199"/>
      <c r="K195" s="199"/>
      <c r="L195" s="199"/>
      <c r="M195" s="199"/>
      <c r="N195" s="199"/>
    </row>
    <row r="196" spans="1:14" x14ac:dyDescent="0.35">
      <c r="A196" s="199"/>
      <c r="B196" s="199"/>
      <c r="C196" s="199"/>
      <c r="D196" s="199"/>
      <c r="E196" s="199"/>
      <c r="F196" s="199"/>
      <c r="G196" s="199"/>
      <c r="H196" s="199"/>
      <c r="I196" s="199"/>
      <c r="J196" s="199"/>
      <c r="K196" s="199"/>
      <c r="L196" s="199"/>
      <c r="M196" s="199"/>
      <c r="N196" s="199"/>
    </row>
    <row r="197" spans="1:14" x14ac:dyDescent="0.35">
      <c r="A197" s="199"/>
      <c r="B197" s="199"/>
      <c r="C197" s="199"/>
      <c r="D197" s="199"/>
      <c r="E197" s="199"/>
      <c r="F197" s="199"/>
      <c r="G197" s="199"/>
      <c r="H197" s="199"/>
      <c r="I197" s="199"/>
      <c r="J197" s="199"/>
      <c r="K197" s="199"/>
      <c r="L197" s="199"/>
      <c r="M197" s="199"/>
      <c r="N197" s="199"/>
    </row>
    <row r="198" spans="1:14" x14ac:dyDescent="0.35">
      <c r="A198" s="199"/>
      <c r="B198" s="199"/>
      <c r="C198" s="199"/>
      <c r="D198" s="199"/>
      <c r="E198" s="199"/>
      <c r="F198" s="199"/>
      <c r="G198" s="199"/>
      <c r="H198" s="199"/>
      <c r="I198" s="199"/>
      <c r="J198" s="199"/>
      <c r="K198" s="199"/>
      <c r="L198" s="199"/>
      <c r="M198" s="199"/>
      <c r="N198" s="199"/>
    </row>
    <row r="199" spans="1:14" x14ac:dyDescent="0.35">
      <c r="A199" s="199"/>
      <c r="B199" s="199"/>
      <c r="C199" s="199"/>
      <c r="D199" s="199"/>
      <c r="E199" s="199"/>
      <c r="F199" s="199"/>
      <c r="G199" s="199"/>
      <c r="H199" s="199"/>
      <c r="I199" s="199"/>
      <c r="J199" s="199"/>
      <c r="K199" s="199"/>
      <c r="L199" s="199"/>
      <c r="M199" s="199"/>
      <c r="N199" s="199"/>
    </row>
    <row r="200" spans="1:14" x14ac:dyDescent="0.35">
      <c r="A200" s="199"/>
      <c r="B200" s="199"/>
      <c r="C200" s="199"/>
      <c r="D200" s="199"/>
      <c r="E200" s="199"/>
      <c r="F200" s="199"/>
      <c r="G200" s="199"/>
      <c r="H200" s="199"/>
      <c r="I200" s="199"/>
      <c r="J200" s="199"/>
      <c r="K200" s="199"/>
      <c r="L200" s="199"/>
      <c r="M200" s="199"/>
      <c r="N200" s="199"/>
    </row>
    <row r="201" spans="1:14" x14ac:dyDescent="0.35">
      <c r="A201" s="199"/>
      <c r="B201" s="199"/>
      <c r="C201" s="199"/>
      <c r="D201" s="199"/>
      <c r="E201" s="199"/>
      <c r="F201" s="199"/>
      <c r="G201" s="199"/>
      <c r="H201" s="199"/>
      <c r="I201" s="199"/>
      <c r="J201" s="199"/>
      <c r="K201" s="199"/>
      <c r="L201" s="199"/>
      <c r="M201" s="199"/>
      <c r="N201" s="199"/>
    </row>
    <row r="202" spans="1:14" x14ac:dyDescent="0.35">
      <c r="A202" s="199"/>
      <c r="B202" s="199"/>
      <c r="C202" s="199"/>
      <c r="D202" s="199"/>
      <c r="E202" s="199"/>
      <c r="F202" s="199"/>
      <c r="G202" s="199"/>
      <c r="H202" s="199"/>
      <c r="I202" s="199"/>
      <c r="J202" s="199"/>
      <c r="K202" s="199"/>
      <c r="L202" s="199"/>
      <c r="M202" s="199"/>
      <c r="N202" s="199"/>
    </row>
    <row r="203" spans="1:14" x14ac:dyDescent="0.35">
      <c r="A203" s="199"/>
      <c r="B203" s="199"/>
      <c r="C203" s="199"/>
      <c r="D203" s="199"/>
      <c r="E203" s="199"/>
      <c r="F203" s="199"/>
      <c r="G203" s="199"/>
      <c r="H203" s="199"/>
      <c r="I203" s="199"/>
      <c r="J203" s="199"/>
      <c r="K203" s="199"/>
      <c r="L203" s="199"/>
      <c r="M203" s="199"/>
      <c r="N203" s="199"/>
    </row>
    <row r="204" spans="1:14" x14ac:dyDescent="0.35">
      <c r="A204" s="199"/>
      <c r="B204" s="199"/>
      <c r="C204" s="199"/>
      <c r="D204" s="199"/>
      <c r="E204" s="199"/>
      <c r="F204" s="199"/>
      <c r="G204" s="199"/>
      <c r="H204" s="199"/>
      <c r="I204" s="199"/>
      <c r="J204" s="199"/>
      <c r="K204" s="199"/>
      <c r="L204" s="199"/>
      <c r="M204" s="199"/>
      <c r="N204" s="199"/>
    </row>
    <row r="205" spans="1:14" x14ac:dyDescent="0.35">
      <c r="A205" s="199"/>
      <c r="B205" s="199"/>
      <c r="C205" s="199"/>
      <c r="D205" s="199"/>
      <c r="E205" s="199"/>
      <c r="F205" s="199"/>
      <c r="G205" s="199"/>
      <c r="H205" s="199"/>
      <c r="I205" s="199"/>
      <c r="J205" s="199"/>
      <c r="K205" s="199"/>
      <c r="L205" s="199"/>
      <c r="M205" s="199"/>
      <c r="N205" s="199"/>
    </row>
    <row r="206" spans="1:14" x14ac:dyDescent="0.35">
      <c r="A206" s="199"/>
      <c r="B206" s="199"/>
      <c r="C206" s="199"/>
      <c r="D206" s="199"/>
      <c r="E206" s="199"/>
      <c r="F206" s="199"/>
      <c r="G206" s="199"/>
      <c r="H206" s="199"/>
      <c r="I206" s="199"/>
      <c r="J206" s="199"/>
      <c r="K206" s="199"/>
      <c r="L206" s="199"/>
      <c r="M206" s="199"/>
      <c r="N206" s="199"/>
    </row>
    <row r="207" spans="1:14" x14ac:dyDescent="0.35">
      <c r="A207" s="199"/>
      <c r="B207" s="199"/>
      <c r="C207" s="199"/>
      <c r="D207" s="199"/>
      <c r="E207" s="199"/>
      <c r="F207" s="199"/>
      <c r="G207" s="199"/>
      <c r="H207" s="199"/>
      <c r="I207" s="199"/>
      <c r="J207" s="199"/>
      <c r="K207" s="199"/>
      <c r="L207" s="199"/>
      <c r="M207" s="199"/>
      <c r="N207" s="199"/>
    </row>
    <row r="208" spans="1:14" x14ac:dyDescent="0.35">
      <c r="A208" s="199"/>
      <c r="B208" s="199"/>
      <c r="C208" s="199"/>
      <c r="D208" s="199"/>
      <c r="E208" s="199"/>
      <c r="F208" s="199"/>
      <c r="G208" s="199"/>
      <c r="H208" s="199"/>
      <c r="I208" s="199"/>
      <c r="J208" s="199"/>
      <c r="K208" s="199"/>
      <c r="L208" s="199"/>
      <c r="M208" s="199"/>
      <c r="N208" s="199"/>
    </row>
    <row r="209" spans="1:14" x14ac:dyDescent="0.35">
      <c r="A209" s="199"/>
      <c r="B209" s="199"/>
      <c r="C209" s="199"/>
      <c r="D209" s="199"/>
      <c r="E209" s="199"/>
      <c r="F209" s="199"/>
      <c r="G209" s="199"/>
      <c r="H209" s="199"/>
      <c r="I209" s="199"/>
      <c r="J209" s="199"/>
      <c r="K209" s="199"/>
      <c r="L209" s="199"/>
      <c r="M209" s="199"/>
      <c r="N209" s="199"/>
    </row>
    <row r="210" spans="1:14" x14ac:dyDescent="0.35">
      <c r="A210" s="199"/>
      <c r="B210" s="199"/>
      <c r="C210" s="199"/>
      <c r="D210" s="199"/>
      <c r="E210" s="199"/>
      <c r="F210" s="199"/>
      <c r="G210" s="199"/>
      <c r="H210" s="199"/>
      <c r="I210" s="199"/>
      <c r="J210" s="199"/>
      <c r="K210" s="199"/>
      <c r="L210" s="199"/>
      <c r="M210" s="199"/>
      <c r="N210" s="199"/>
    </row>
    <row r="211" spans="1:14" ht="14.5" customHeight="1" x14ac:dyDescent="0.35">
      <c r="A211" s="199"/>
      <c r="B211" s="199"/>
      <c r="C211" s="199"/>
      <c r="D211" s="199"/>
      <c r="E211" s="199"/>
      <c r="F211" s="199"/>
      <c r="G211" s="199"/>
      <c r="H211" s="199"/>
      <c r="I211" s="199"/>
      <c r="J211" s="199"/>
      <c r="K211" s="199"/>
      <c r="L211" s="199"/>
      <c r="M211" s="199"/>
      <c r="N211" s="199"/>
    </row>
    <row r="212" spans="1:14" ht="14.5" customHeight="1" x14ac:dyDescent="0.35">
      <c r="A212" s="199"/>
      <c r="B212" s="199"/>
      <c r="C212" s="199"/>
      <c r="D212" s="199"/>
      <c r="E212" s="199"/>
      <c r="F212" s="199"/>
      <c r="G212" s="199"/>
      <c r="H212" s="199"/>
      <c r="I212" s="199"/>
      <c r="J212" s="199"/>
      <c r="K212" s="199"/>
      <c r="L212" s="199"/>
      <c r="M212" s="199"/>
      <c r="N212" s="199"/>
    </row>
    <row r="213" spans="1:14" x14ac:dyDescent="0.35">
      <c r="A213" s="199"/>
      <c r="B213" s="199"/>
      <c r="C213" s="199"/>
      <c r="D213" s="199"/>
      <c r="E213" s="199"/>
      <c r="F213" s="199"/>
      <c r="G213" s="199"/>
      <c r="H213" s="199"/>
      <c r="I213" s="199"/>
      <c r="J213" s="199"/>
      <c r="K213" s="199"/>
      <c r="L213" s="199"/>
      <c r="M213" s="199"/>
      <c r="N213" s="199"/>
    </row>
    <row r="214" spans="1:14" x14ac:dyDescent="0.35">
      <c r="A214" s="199"/>
      <c r="B214" s="199"/>
      <c r="C214" s="199"/>
      <c r="D214" s="199"/>
      <c r="E214" s="199"/>
      <c r="F214" s="199"/>
      <c r="G214" s="199"/>
      <c r="H214" s="199"/>
      <c r="I214" s="199"/>
      <c r="J214" s="199"/>
      <c r="K214" s="199"/>
      <c r="L214" s="199"/>
      <c r="M214" s="199"/>
      <c r="N214" s="199"/>
    </row>
    <row r="215" spans="1:14" x14ac:dyDescent="0.35">
      <c r="A215" s="199"/>
      <c r="B215" s="199"/>
      <c r="C215" s="199"/>
      <c r="D215" s="199"/>
      <c r="E215" s="199"/>
      <c r="F215" s="199"/>
      <c r="G215" s="199"/>
      <c r="H215" s="199"/>
      <c r="I215" s="199"/>
      <c r="J215" s="199"/>
      <c r="K215" s="199"/>
      <c r="L215" s="199"/>
      <c r="M215" s="199"/>
      <c r="N215" s="199"/>
    </row>
    <row r="216" spans="1:14" x14ac:dyDescent="0.35">
      <c r="A216" s="199"/>
      <c r="B216" s="199"/>
      <c r="C216" s="199"/>
      <c r="D216" s="199"/>
      <c r="E216" s="199"/>
      <c r="F216" s="199"/>
      <c r="G216" s="199"/>
      <c r="H216" s="199"/>
      <c r="I216" s="199"/>
      <c r="J216" s="199"/>
      <c r="K216" s="199"/>
      <c r="L216" s="199"/>
      <c r="M216" s="199"/>
      <c r="N216" s="199"/>
    </row>
    <row r="217" spans="1:14" x14ac:dyDescent="0.35">
      <c r="A217" s="199"/>
      <c r="B217" s="199"/>
      <c r="C217" s="199"/>
      <c r="D217" s="199"/>
      <c r="E217" s="199"/>
      <c r="F217" s="199"/>
      <c r="G217" s="199"/>
      <c r="H217" s="199"/>
      <c r="I217" s="199"/>
      <c r="J217" s="199"/>
      <c r="K217" s="199"/>
      <c r="L217" s="199"/>
      <c r="M217" s="199"/>
      <c r="N217" s="199"/>
    </row>
    <row r="218" spans="1:14" x14ac:dyDescent="0.35">
      <c r="A218" s="199"/>
      <c r="B218" s="199"/>
      <c r="C218" s="199"/>
      <c r="D218" s="199"/>
      <c r="E218" s="199"/>
      <c r="F218" s="199"/>
      <c r="G218" s="199"/>
      <c r="H218" s="199"/>
      <c r="I218" s="199"/>
      <c r="J218" s="199"/>
      <c r="K218" s="199"/>
      <c r="L218" s="199"/>
      <c r="M218" s="199"/>
      <c r="N218" s="199"/>
    </row>
    <row r="219" spans="1:14" x14ac:dyDescent="0.35">
      <c r="A219" s="199"/>
      <c r="B219" s="199"/>
      <c r="C219" s="199"/>
      <c r="D219" s="199"/>
      <c r="E219" s="199"/>
      <c r="F219" s="199"/>
      <c r="G219" s="199"/>
      <c r="H219" s="199"/>
      <c r="I219" s="199"/>
      <c r="J219" s="199"/>
      <c r="K219" s="199"/>
      <c r="L219" s="199"/>
      <c r="M219" s="199"/>
      <c r="N219" s="199"/>
    </row>
    <row r="220" spans="1:14" x14ac:dyDescent="0.35">
      <c r="A220" s="199"/>
      <c r="B220" s="199"/>
      <c r="C220" s="199"/>
      <c r="D220" s="199"/>
      <c r="E220" s="199"/>
      <c r="F220" s="199"/>
      <c r="G220" s="199"/>
      <c r="H220" s="199"/>
      <c r="I220" s="199"/>
      <c r="J220" s="199"/>
      <c r="K220" s="199"/>
      <c r="L220" s="199"/>
      <c r="M220" s="199"/>
      <c r="N220" s="199"/>
    </row>
    <row r="221" spans="1:14" x14ac:dyDescent="0.35">
      <c r="A221" s="199"/>
      <c r="B221" s="199"/>
      <c r="C221" s="199"/>
      <c r="D221" s="199"/>
      <c r="E221" s="199"/>
      <c r="F221" s="199"/>
      <c r="G221" s="199"/>
      <c r="H221" s="199"/>
      <c r="I221" s="199"/>
      <c r="J221" s="199"/>
      <c r="K221" s="199"/>
      <c r="L221" s="199"/>
      <c r="M221" s="199"/>
      <c r="N221" s="199"/>
    </row>
    <row r="222" spans="1:14" x14ac:dyDescent="0.35">
      <c r="A222" s="199"/>
      <c r="B222" s="199"/>
      <c r="C222" s="199"/>
      <c r="D222" s="199"/>
      <c r="E222" s="199"/>
      <c r="F222" s="199"/>
      <c r="G222" s="199"/>
      <c r="H222" s="199"/>
      <c r="I222" s="199"/>
      <c r="J222" s="199"/>
      <c r="K222" s="199"/>
      <c r="L222" s="199"/>
      <c r="M222" s="199"/>
      <c r="N222" s="199"/>
    </row>
    <row r="223" spans="1:14" x14ac:dyDescent="0.35">
      <c r="A223" s="199"/>
      <c r="B223" s="199"/>
      <c r="C223" s="199"/>
      <c r="D223" s="199"/>
      <c r="E223" s="199"/>
      <c r="F223" s="199"/>
      <c r="G223" s="199"/>
      <c r="H223" s="199"/>
      <c r="I223" s="199"/>
      <c r="J223" s="199"/>
      <c r="K223" s="199"/>
      <c r="L223" s="199"/>
      <c r="M223" s="199"/>
      <c r="N223" s="199"/>
    </row>
    <row r="224" spans="1:14" x14ac:dyDescent="0.35">
      <c r="A224" s="199"/>
      <c r="B224" s="199"/>
      <c r="C224" s="199"/>
      <c r="D224" s="199"/>
      <c r="E224" s="199"/>
      <c r="F224" s="199"/>
      <c r="G224" s="199"/>
      <c r="H224" s="199"/>
      <c r="I224" s="199"/>
      <c r="J224" s="199"/>
      <c r="K224" s="199"/>
      <c r="L224" s="199"/>
      <c r="M224" s="199"/>
      <c r="N224" s="199"/>
    </row>
    <row r="225" spans="1:14" x14ac:dyDescent="0.35">
      <c r="A225" s="199"/>
      <c r="B225" s="199"/>
      <c r="C225" s="199"/>
      <c r="D225" s="199"/>
      <c r="E225" s="199"/>
      <c r="F225" s="199"/>
      <c r="G225" s="199"/>
      <c r="H225" s="199"/>
      <c r="I225" s="199"/>
      <c r="J225" s="199"/>
      <c r="K225" s="199"/>
      <c r="L225" s="199"/>
      <c r="M225" s="199"/>
      <c r="N225" s="199"/>
    </row>
    <row r="226" spans="1:14" x14ac:dyDescent="0.35">
      <c r="A226" s="199"/>
      <c r="B226" s="199"/>
      <c r="C226" s="199"/>
      <c r="D226" s="199"/>
      <c r="E226" s="199"/>
      <c r="F226" s="199"/>
      <c r="G226" s="199"/>
      <c r="H226" s="199"/>
      <c r="I226" s="199"/>
      <c r="J226" s="199"/>
      <c r="K226" s="199"/>
      <c r="L226" s="199"/>
      <c r="M226" s="199"/>
      <c r="N226" s="199"/>
    </row>
    <row r="227" spans="1:14" x14ac:dyDescent="0.35">
      <c r="A227" s="199"/>
      <c r="B227" s="199"/>
      <c r="C227" s="199"/>
      <c r="D227" s="199"/>
      <c r="E227" s="199"/>
      <c r="F227" s="199"/>
      <c r="G227" s="199"/>
      <c r="H227" s="199"/>
      <c r="I227" s="199"/>
      <c r="J227" s="199"/>
      <c r="K227" s="199"/>
      <c r="L227" s="199"/>
      <c r="M227" s="199"/>
      <c r="N227" s="199"/>
    </row>
    <row r="228" spans="1:14" x14ac:dyDescent="0.35">
      <c r="A228" s="199"/>
      <c r="B228" s="199"/>
      <c r="C228" s="199"/>
      <c r="D228" s="199"/>
      <c r="E228" s="199"/>
      <c r="F228" s="199"/>
      <c r="G228" s="199"/>
      <c r="H228" s="199"/>
      <c r="I228" s="199"/>
      <c r="J228" s="199"/>
      <c r="K228" s="199"/>
      <c r="L228" s="199"/>
      <c r="M228" s="199"/>
      <c r="N228" s="199"/>
    </row>
    <row r="229" spans="1:14" x14ac:dyDescent="0.35">
      <c r="A229" s="199"/>
      <c r="B229" s="199"/>
      <c r="C229" s="199"/>
      <c r="D229" s="199"/>
      <c r="E229" s="199"/>
      <c r="F229" s="199"/>
      <c r="G229" s="199"/>
      <c r="H229" s="199"/>
      <c r="I229" s="199"/>
      <c r="J229" s="199"/>
      <c r="K229" s="199"/>
      <c r="L229" s="199"/>
      <c r="M229" s="199"/>
      <c r="N229" s="199"/>
    </row>
    <row r="230" spans="1:14" x14ac:dyDescent="0.35">
      <c r="A230" s="199"/>
      <c r="B230" s="199"/>
      <c r="C230" s="199"/>
      <c r="D230" s="199"/>
      <c r="E230" s="199"/>
      <c r="F230" s="199"/>
      <c r="G230" s="199"/>
      <c r="H230" s="199"/>
      <c r="I230" s="199"/>
      <c r="J230" s="199"/>
      <c r="K230" s="199"/>
      <c r="L230" s="199"/>
      <c r="M230" s="199"/>
      <c r="N230" s="199"/>
    </row>
    <row r="231" spans="1:14" x14ac:dyDescent="0.35">
      <c r="A231" s="199"/>
      <c r="B231" s="199"/>
      <c r="C231" s="199"/>
      <c r="D231" s="199"/>
      <c r="E231" s="199"/>
      <c r="F231" s="199"/>
      <c r="G231" s="199"/>
      <c r="H231" s="199"/>
      <c r="I231" s="199"/>
      <c r="J231" s="199"/>
      <c r="K231" s="199"/>
      <c r="L231" s="199"/>
      <c r="M231" s="199"/>
      <c r="N231" s="199"/>
    </row>
    <row r="232" spans="1:14" x14ac:dyDescent="0.35">
      <c r="A232" s="199"/>
      <c r="B232" s="199"/>
      <c r="C232" s="199"/>
      <c r="D232" s="199"/>
      <c r="E232" s="199"/>
      <c r="F232" s="199"/>
      <c r="G232" s="199"/>
      <c r="H232" s="199"/>
      <c r="I232" s="199"/>
      <c r="J232" s="199"/>
      <c r="K232" s="199"/>
      <c r="L232" s="199"/>
      <c r="M232" s="199"/>
      <c r="N232" s="199"/>
    </row>
    <row r="233" spans="1:14" x14ac:dyDescent="0.35">
      <c r="A233" s="199"/>
      <c r="B233" s="199"/>
      <c r="C233" s="199"/>
      <c r="D233" s="199"/>
      <c r="E233" s="199"/>
      <c r="F233" s="199"/>
      <c r="G233" s="199"/>
      <c r="H233" s="199"/>
      <c r="I233" s="199"/>
      <c r="J233" s="199"/>
      <c r="K233" s="199"/>
      <c r="L233" s="199"/>
      <c r="M233" s="199"/>
      <c r="N233" s="199"/>
    </row>
    <row r="234" spans="1:14" x14ac:dyDescent="0.35">
      <c r="A234" s="199"/>
      <c r="B234" s="199"/>
      <c r="C234" s="199"/>
      <c r="D234" s="199"/>
      <c r="E234" s="199"/>
      <c r="F234" s="199"/>
      <c r="G234" s="199"/>
      <c r="H234" s="199"/>
      <c r="I234" s="199"/>
      <c r="J234" s="199"/>
      <c r="K234" s="199"/>
      <c r="L234" s="199"/>
      <c r="M234" s="199"/>
      <c r="N234" s="199"/>
    </row>
    <row r="235" spans="1:14" x14ac:dyDescent="0.35">
      <c r="A235" s="199"/>
      <c r="B235" s="199"/>
      <c r="C235" s="199"/>
      <c r="D235" s="199"/>
      <c r="E235" s="199"/>
      <c r="F235" s="199"/>
      <c r="G235" s="199"/>
      <c r="H235" s="199"/>
      <c r="I235" s="199"/>
      <c r="J235" s="199"/>
      <c r="K235" s="199"/>
      <c r="L235" s="199"/>
      <c r="M235" s="199"/>
      <c r="N235" s="199"/>
    </row>
    <row r="236" spans="1:14" x14ac:dyDescent="0.35">
      <c r="A236" s="199"/>
      <c r="B236" s="199"/>
      <c r="C236" s="199"/>
      <c r="D236" s="199"/>
      <c r="E236" s="199"/>
      <c r="F236" s="199"/>
      <c r="G236" s="199"/>
      <c r="H236" s="199"/>
      <c r="I236" s="199"/>
      <c r="J236" s="199"/>
      <c r="K236" s="199"/>
      <c r="L236" s="199"/>
      <c r="M236" s="199"/>
      <c r="N236" s="199"/>
    </row>
    <row r="237" spans="1:14" x14ac:dyDescent="0.35">
      <c r="A237" s="199"/>
      <c r="B237" s="199"/>
      <c r="C237" s="199"/>
      <c r="D237" s="199"/>
      <c r="E237" s="199"/>
      <c r="F237" s="199"/>
      <c r="G237" s="199"/>
      <c r="H237" s="199"/>
      <c r="I237" s="199"/>
      <c r="J237" s="199"/>
      <c r="K237" s="199"/>
      <c r="L237" s="199"/>
      <c r="M237" s="199"/>
      <c r="N237" s="199"/>
    </row>
    <row r="238" spans="1:14" x14ac:dyDescent="0.35">
      <c r="A238" s="199"/>
      <c r="B238" s="199"/>
      <c r="C238" s="199"/>
      <c r="D238" s="199"/>
      <c r="E238" s="199"/>
      <c r="F238" s="199"/>
      <c r="G238" s="199"/>
      <c r="H238" s="199"/>
      <c r="I238" s="199"/>
      <c r="J238" s="199"/>
      <c r="K238" s="199"/>
      <c r="L238" s="199"/>
      <c r="M238" s="199"/>
      <c r="N238" s="199"/>
    </row>
    <row r="239" spans="1:14" x14ac:dyDescent="0.35">
      <c r="A239" s="199"/>
      <c r="B239" s="199"/>
      <c r="C239" s="199"/>
      <c r="D239" s="199"/>
      <c r="E239" s="199"/>
      <c r="F239" s="199"/>
      <c r="G239" s="199"/>
      <c r="H239" s="199"/>
      <c r="I239" s="199"/>
      <c r="J239" s="199"/>
      <c r="K239" s="199"/>
      <c r="L239" s="199"/>
      <c r="M239" s="199"/>
      <c r="N239" s="199"/>
    </row>
    <row r="240" spans="1:14" x14ac:dyDescent="0.35">
      <c r="A240" s="199"/>
      <c r="B240" s="199"/>
      <c r="C240" s="199"/>
      <c r="D240" s="199"/>
      <c r="E240" s="199"/>
      <c r="F240" s="199"/>
      <c r="G240" s="199"/>
      <c r="H240" s="199"/>
      <c r="I240" s="199"/>
      <c r="J240" s="199"/>
      <c r="K240" s="199"/>
      <c r="L240" s="199"/>
      <c r="M240" s="199"/>
      <c r="N240" s="199"/>
    </row>
    <row r="241" spans="1:14" x14ac:dyDescent="0.35">
      <c r="A241" s="199"/>
      <c r="B241" s="199"/>
      <c r="C241" s="199"/>
      <c r="D241" s="199"/>
      <c r="E241" s="199"/>
      <c r="F241" s="199"/>
      <c r="G241" s="199"/>
      <c r="H241" s="199"/>
      <c r="I241" s="199"/>
      <c r="J241" s="199"/>
      <c r="K241" s="199"/>
      <c r="L241" s="199"/>
      <c r="M241" s="199"/>
      <c r="N241" s="199"/>
    </row>
    <row r="242" spans="1:14" x14ac:dyDescent="0.35">
      <c r="A242" s="199"/>
      <c r="B242" s="199"/>
      <c r="C242" s="199"/>
      <c r="D242" s="199"/>
      <c r="E242" s="199"/>
      <c r="F242" s="199"/>
      <c r="G242" s="199"/>
      <c r="H242" s="199"/>
      <c r="I242" s="199"/>
      <c r="J242" s="199"/>
      <c r="K242" s="199"/>
      <c r="L242" s="199"/>
      <c r="M242" s="199"/>
      <c r="N242" s="199"/>
    </row>
    <row r="243" spans="1:14" x14ac:dyDescent="0.35">
      <c r="A243" s="199"/>
      <c r="B243" s="199"/>
      <c r="C243" s="199"/>
      <c r="D243" s="199"/>
      <c r="E243" s="199"/>
      <c r="F243" s="199"/>
      <c r="G243" s="199"/>
      <c r="H243" s="199"/>
      <c r="I243" s="199"/>
      <c r="J243" s="199"/>
      <c r="K243" s="199"/>
      <c r="L243" s="199"/>
      <c r="M243" s="199"/>
      <c r="N243" s="199"/>
    </row>
    <row r="244" spans="1:14" x14ac:dyDescent="0.35">
      <c r="A244" s="199"/>
      <c r="B244" s="199"/>
      <c r="C244" s="199"/>
      <c r="D244" s="199"/>
      <c r="E244" s="199"/>
      <c r="F244" s="199"/>
      <c r="G244" s="199"/>
      <c r="H244" s="199"/>
      <c r="I244" s="199"/>
      <c r="J244" s="199"/>
      <c r="K244" s="199"/>
      <c r="L244" s="199"/>
      <c r="M244" s="199"/>
      <c r="N244" s="199"/>
    </row>
    <row r="245" spans="1:14" x14ac:dyDescent="0.35">
      <c r="A245" s="199"/>
      <c r="B245" s="199"/>
      <c r="C245" s="199"/>
      <c r="D245" s="199"/>
      <c r="E245" s="199"/>
      <c r="F245" s="199"/>
      <c r="G245" s="199"/>
      <c r="H245" s="199"/>
      <c r="I245" s="199"/>
      <c r="J245" s="199"/>
      <c r="K245" s="199"/>
      <c r="L245" s="199"/>
      <c r="M245" s="199"/>
      <c r="N245" s="199"/>
    </row>
    <row r="246" spans="1:14" x14ac:dyDescent="0.35">
      <c r="A246" s="199"/>
      <c r="B246" s="199"/>
      <c r="C246" s="199"/>
      <c r="D246" s="199"/>
      <c r="E246" s="199"/>
      <c r="F246" s="199"/>
      <c r="G246" s="199"/>
      <c r="H246" s="199"/>
      <c r="I246" s="199"/>
      <c r="J246" s="199"/>
      <c r="K246" s="199"/>
      <c r="L246" s="199"/>
      <c r="M246" s="199"/>
      <c r="N246" s="199"/>
    </row>
    <row r="247" spans="1:14" x14ac:dyDescent="0.35">
      <c r="A247" s="199"/>
      <c r="B247" s="199"/>
      <c r="C247" s="199"/>
      <c r="D247" s="199"/>
      <c r="E247" s="199"/>
      <c r="F247" s="199"/>
      <c r="G247" s="199"/>
      <c r="H247" s="199"/>
      <c r="I247" s="199"/>
      <c r="J247" s="199"/>
      <c r="K247" s="199"/>
      <c r="L247" s="199"/>
      <c r="M247" s="199"/>
      <c r="N247" s="199"/>
    </row>
    <row r="248" spans="1:14" x14ac:dyDescent="0.35">
      <c r="A248" s="199"/>
      <c r="B248" s="199"/>
      <c r="C248" s="199"/>
      <c r="D248" s="199"/>
      <c r="E248" s="199"/>
      <c r="F248" s="199"/>
      <c r="G248" s="199"/>
      <c r="H248" s="199"/>
      <c r="I248" s="199"/>
      <c r="J248" s="199"/>
      <c r="K248" s="199"/>
      <c r="L248" s="199"/>
      <c r="M248" s="199"/>
      <c r="N248" s="199"/>
    </row>
    <row r="249" spans="1:14" x14ac:dyDescent="0.35">
      <c r="A249" s="199"/>
      <c r="B249" s="199"/>
      <c r="C249" s="199"/>
      <c r="D249" s="199"/>
      <c r="E249" s="199"/>
      <c r="F249" s="199"/>
      <c r="G249" s="199"/>
      <c r="H249" s="199"/>
      <c r="I249" s="199"/>
      <c r="J249" s="199"/>
      <c r="K249" s="199"/>
      <c r="L249" s="199"/>
      <c r="M249" s="199"/>
      <c r="N249" s="199"/>
    </row>
    <row r="250" spans="1:14" x14ac:dyDescent="0.35">
      <c r="A250" s="199"/>
      <c r="B250" s="199"/>
      <c r="C250" s="199"/>
      <c r="D250" s="199"/>
      <c r="E250" s="199"/>
      <c r="F250" s="199"/>
      <c r="G250" s="199"/>
      <c r="H250" s="199"/>
      <c r="I250" s="199"/>
      <c r="J250" s="199"/>
      <c r="K250" s="199"/>
      <c r="L250" s="199"/>
      <c r="M250" s="199"/>
      <c r="N250" s="199"/>
    </row>
    <row r="251" spans="1:14" x14ac:dyDescent="0.35">
      <c r="A251" s="199"/>
      <c r="B251" s="199"/>
      <c r="C251" s="199"/>
      <c r="D251" s="199"/>
      <c r="E251" s="199"/>
      <c r="F251" s="199"/>
      <c r="G251" s="199"/>
      <c r="H251" s="199"/>
      <c r="I251" s="199"/>
      <c r="J251" s="199"/>
      <c r="K251" s="199"/>
      <c r="L251" s="199"/>
      <c r="M251" s="199"/>
      <c r="N251" s="199"/>
    </row>
    <row r="252" spans="1:14" x14ac:dyDescent="0.35">
      <c r="A252" s="199"/>
      <c r="B252" s="199"/>
      <c r="C252" s="199"/>
      <c r="D252" s="199"/>
      <c r="E252" s="199"/>
      <c r="F252" s="199"/>
      <c r="G252" s="199"/>
      <c r="H252" s="199"/>
      <c r="I252" s="199"/>
      <c r="J252" s="199"/>
      <c r="K252" s="199"/>
      <c r="L252" s="199"/>
      <c r="M252" s="199"/>
      <c r="N252" s="199"/>
    </row>
    <row r="253" spans="1:14" x14ac:dyDescent="0.35">
      <c r="A253" s="199"/>
      <c r="B253" s="199"/>
      <c r="C253" s="199"/>
      <c r="D253" s="199"/>
      <c r="E253" s="199"/>
      <c r="F253" s="199"/>
      <c r="G253" s="199"/>
      <c r="H253" s="199"/>
      <c r="I253" s="199"/>
      <c r="J253" s="199"/>
      <c r="K253" s="199"/>
      <c r="L253" s="199"/>
      <c r="M253" s="199"/>
      <c r="N253" s="199"/>
    </row>
    <row r="254" spans="1:14" x14ac:dyDescent="0.35">
      <c r="A254" s="199"/>
      <c r="B254" s="199"/>
      <c r="C254" s="199"/>
      <c r="D254" s="199"/>
      <c r="E254" s="199"/>
      <c r="F254" s="199"/>
      <c r="G254" s="199"/>
      <c r="H254" s="199"/>
      <c r="I254" s="199"/>
      <c r="J254" s="199"/>
      <c r="K254" s="199"/>
      <c r="L254" s="199"/>
      <c r="M254" s="199"/>
      <c r="N254" s="199"/>
    </row>
    <row r="255" spans="1:14" x14ac:dyDescent="0.35">
      <c r="A255" s="199"/>
      <c r="B255" s="199"/>
      <c r="C255" s="199"/>
      <c r="D255" s="199"/>
      <c r="E255" s="199"/>
      <c r="F255" s="199"/>
      <c r="G255" s="199"/>
      <c r="H255" s="199"/>
      <c r="I255" s="199"/>
      <c r="J255" s="199"/>
      <c r="K255" s="199"/>
      <c r="L255" s="199"/>
      <c r="M255" s="199"/>
      <c r="N255" s="199"/>
    </row>
    <row r="256" spans="1:14" x14ac:dyDescent="0.35">
      <c r="A256" s="199"/>
      <c r="B256" s="199"/>
      <c r="C256" s="199"/>
      <c r="D256" s="199"/>
      <c r="E256" s="199"/>
      <c r="F256" s="199"/>
      <c r="G256" s="199"/>
      <c r="H256" s="199"/>
      <c r="I256" s="199"/>
      <c r="J256" s="199"/>
      <c r="K256" s="199"/>
      <c r="L256" s="199"/>
      <c r="M256" s="199"/>
      <c r="N256" s="199"/>
    </row>
    <row r="257" spans="1:14" x14ac:dyDescent="0.35">
      <c r="A257" s="199"/>
      <c r="B257" s="199"/>
      <c r="C257" s="199"/>
      <c r="D257" s="199"/>
      <c r="E257" s="199"/>
      <c r="F257" s="199"/>
      <c r="G257" s="199"/>
      <c r="H257" s="199"/>
      <c r="I257" s="199"/>
      <c r="J257" s="199"/>
      <c r="K257" s="199"/>
      <c r="L257" s="199"/>
      <c r="M257" s="199"/>
      <c r="N257" s="199"/>
    </row>
    <row r="258" spans="1:14" x14ac:dyDescent="0.35">
      <c r="A258" s="199"/>
      <c r="B258" s="199"/>
      <c r="C258" s="199"/>
      <c r="D258" s="199"/>
      <c r="E258" s="199"/>
      <c r="F258" s="199"/>
      <c r="G258" s="199"/>
      <c r="H258" s="199"/>
      <c r="I258" s="199"/>
      <c r="J258" s="199"/>
      <c r="K258" s="199"/>
      <c r="L258" s="199"/>
      <c r="M258" s="199"/>
      <c r="N258" s="199"/>
    </row>
    <row r="259" spans="1:14" x14ac:dyDescent="0.35">
      <c r="A259" s="199"/>
      <c r="B259" s="199"/>
      <c r="C259" s="199"/>
      <c r="D259" s="199"/>
      <c r="E259" s="199"/>
      <c r="F259" s="199"/>
      <c r="G259" s="199"/>
      <c r="H259" s="199"/>
      <c r="I259" s="199"/>
      <c r="J259" s="199"/>
      <c r="K259" s="199"/>
      <c r="L259" s="199"/>
      <c r="M259" s="199"/>
      <c r="N259" s="199"/>
    </row>
    <row r="260" spans="1:14" x14ac:dyDescent="0.35">
      <c r="A260" s="199"/>
      <c r="B260" s="199"/>
      <c r="C260" s="199"/>
      <c r="D260" s="199"/>
      <c r="E260" s="199"/>
      <c r="F260" s="199"/>
      <c r="G260" s="199"/>
      <c r="H260" s="199"/>
      <c r="I260" s="199"/>
      <c r="J260" s="199"/>
      <c r="K260" s="199"/>
      <c r="L260" s="199"/>
      <c r="M260" s="199"/>
      <c r="N260" s="199"/>
    </row>
    <row r="261" spans="1:14" x14ac:dyDescent="0.35">
      <c r="A261" s="199"/>
      <c r="B261" s="199"/>
      <c r="C261" s="199"/>
      <c r="D261" s="199"/>
      <c r="E261" s="199"/>
      <c r="F261" s="199"/>
      <c r="G261" s="199"/>
      <c r="H261" s="199"/>
      <c r="I261" s="199"/>
      <c r="J261" s="199"/>
      <c r="K261" s="199"/>
      <c r="L261" s="199"/>
      <c r="M261" s="199"/>
      <c r="N261" s="199"/>
    </row>
    <row r="262" spans="1:14" x14ac:dyDescent="0.35">
      <c r="A262" s="199"/>
      <c r="B262" s="199"/>
      <c r="C262" s="199"/>
      <c r="D262" s="199"/>
      <c r="E262" s="199"/>
      <c r="F262" s="199"/>
      <c r="G262" s="199"/>
      <c r="H262" s="199"/>
      <c r="I262" s="199"/>
      <c r="J262" s="199"/>
      <c r="K262" s="199"/>
      <c r="L262" s="199"/>
      <c r="M262" s="199"/>
      <c r="N262" s="199"/>
    </row>
    <row r="263" spans="1:14" x14ac:dyDescent="0.35">
      <c r="A263" s="199"/>
      <c r="B263" s="199"/>
      <c r="C263" s="199"/>
      <c r="D263" s="199"/>
      <c r="E263" s="199"/>
      <c r="F263" s="199"/>
      <c r="G263" s="199"/>
      <c r="H263" s="199"/>
      <c r="I263" s="199"/>
      <c r="J263" s="199"/>
      <c r="K263" s="199"/>
      <c r="L263" s="199"/>
      <c r="M263" s="199"/>
      <c r="N263" s="199"/>
    </row>
    <row r="264" spans="1:14" x14ac:dyDescent="0.35">
      <c r="A264" s="199"/>
      <c r="B264" s="199"/>
      <c r="C264" s="199"/>
      <c r="D264" s="199"/>
      <c r="E264" s="199"/>
      <c r="F264" s="199"/>
      <c r="G264" s="199"/>
      <c r="H264" s="199"/>
      <c r="I264" s="199"/>
      <c r="J264" s="199"/>
      <c r="K264" s="199"/>
      <c r="L264" s="199"/>
      <c r="M264" s="199"/>
      <c r="N264" s="199"/>
    </row>
    <row r="265" spans="1:14" x14ac:dyDescent="0.35">
      <c r="A265" s="199"/>
      <c r="B265" s="199"/>
      <c r="C265" s="199"/>
      <c r="D265" s="199"/>
      <c r="E265" s="199"/>
      <c r="F265" s="199"/>
      <c r="G265" s="199"/>
      <c r="H265" s="199"/>
      <c r="I265" s="199"/>
      <c r="J265" s="199"/>
      <c r="K265" s="199"/>
      <c r="L265" s="199"/>
      <c r="M265" s="199"/>
      <c r="N265" s="199"/>
    </row>
    <row r="266" spans="1:14" x14ac:dyDescent="0.35">
      <c r="A266" s="199"/>
      <c r="B266" s="199"/>
      <c r="C266" s="199"/>
      <c r="D266" s="199"/>
      <c r="E266" s="199"/>
      <c r="F266" s="199"/>
      <c r="G266" s="199"/>
      <c r="H266" s="199"/>
      <c r="I266" s="199"/>
      <c r="J266" s="199"/>
      <c r="K266" s="199"/>
      <c r="L266" s="199"/>
      <c r="M266" s="199"/>
      <c r="N266" s="199"/>
    </row>
    <row r="267" spans="1:14" x14ac:dyDescent="0.35">
      <c r="A267" s="199"/>
      <c r="B267" s="199"/>
      <c r="C267" s="199"/>
      <c r="D267" s="199"/>
      <c r="E267" s="199"/>
      <c r="F267" s="199"/>
      <c r="G267" s="199"/>
      <c r="H267" s="199"/>
      <c r="I267" s="199"/>
      <c r="J267" s="199"/>
      <c r="K267" s="199"/>
      <c r="L267" s="199"/>
      <c r="M267" s="199"/>
      <c r="N267" s="199"/>
    </row>
    <row r="268" spans="1:14" x14ac:dyDescent="0.35">
      <c r="A268" s="199"/>
      <c r="B268" s="199"/>
      <c r="C268" s="199"/>
      <c r="D268" s="199"/>
      <c r="E268" s="199"/>
      <c r="F268" s="199"/>
      <c r="G268" s="199"/>
      <c r="H268" s="199"/>
      <c r="I268" s="199"/>
      <c r="J268" s="199"/>
      <c r="K268" s="199"/>
      <c r="L268" s="199"/>
      <c r="M268" s="199"/>
      <c r="N268" s="199"/>
    </row>
    <row r="269" spans="1:14" x14ac:dyDescent="0.35">
      <c r="A269" s="199"/>
      <c r="B269" s="199"/>
      <c r="C269" s="199"/>
      <c r="D269" s="199"/>
      <c r="E269" s="199"/>
      <c r="F269" s="199"/>
      <c r="G269" s="199"/>
      <c r="H269" s="199"/>
      <c r="I269" s="199"/>
      <c r="J269" s="199"/>
      <c r="K269" s="199"/>
      <c r="L269" s="199"/>
      <c r="M269" s="199"/>
      <c r="N269" s="199"/>
    </row>
    <row r="270" spans="1:14" x14ac:dyDescent="0.35">
      <c r="A270" s="199"/>
      <c r="B270" s="199"/>
      <c r="C270" s="199"/>
      <c r="D270" s="199"/>
      <c r="E270" s="199"/>
      <c r="F270" s="199"/>
      <c r="G270" s="199"/>
      <c r="H270" s="199"/>
      <c r="I270" s="199"/>
      <c r="J270" s="199"/>
      <c r="K270" s="199"/>
      <c r="L270" s="199"/>
      <c r="M270" s="199"/>
      <c r="N270" s="199"/>
    </row>
    <row r="271" spans="1:14" x14ac:dyDescent="0.35">
      <c r="A271" s="199"/>
      <c r="B271" s="199"/>
      <c r="C271" s="199"/>
      <c r="D271" s="199"/>
      <c r="E271" s="199"/>
      <c r="F271" s="199"/>
      <c r="G271" s="199"/>
      <c r="H271" s="199"/>
      <c r="I271" s="199"/>
      <c r="J271" s="199"/>
      <c r="K271" s="199"/>
      <c r="L271" s="199"/>
      <c r="M271" s="199"/>
      <c r="N271" s="199"/>
    </row>
    <row r="272" spans="1:14" x14ac:dyDescent="0.35">
      <c r="A272" s="199"/>
      <c r="B272" s="199"/>
      <c r="C272" s="199"/>
      <c r="D272" s="199"/>
      <c r="E272" s="199"/>
      <c r="F272" s="199"/>
      <c r="G272" s="199"/>
      <c r="H272" s="199"/>
      <c r="I272" s="199"/>
      <c r="J272" s="199"/>
      <c r="K272" s="199"/>
      <c r="L272" s="199"/>
      <c r="M272" s="199"/>
      <c r="N272" s="199"/>
    </row>
    <row r="273" spans="1:14" x14ac:dyDescent="0.35">
      <c r="A273" s="199"/>
      <c r="B273" s="199"/>
      <c r="C273" s="199"/>
      <c r="D273" s="199"/>
      <c r="E273" s="199"/>
      <c r="F273" s="199"/>
      <c r="G273" s="199"/>
      <c r="H273" s="199"/>
      <c r="I273" s="199"/>
      <c r="J273" s="199"/>
      <c r="K273" s="199"/>
      <c r="L273" s="199"/>
      <c r="M273" s="199"/>
      <c r="N273" s="199"/>
    </row>
    <row r="274" spans="1:14" x14ac:dyDescent="0.35">
      <c r="A274" s="199"/>
      <c r="B274" s="199"/>
      <c r="C274" s="199"/>
      <c r="D274" s="199"/>
      <c r="E274" s="199"/>
      <c r="F274" s="199"/>
      <c r="G274" s="199"/>
      <c r="H274" s="199"/>
      <c r="I274" s="199"/>
      <c r="J274" s="199"/>
      <c r="K274" s="199"/>
      <c r="L274" s="199"/>
      <c r="M274" s="199"/>
      <c r="N274" s="199"/>
    </row>
    <row r="275" spans="1:14" x14ac:dyDescent="0.35">
      <c r="A275" s="199"/>
      <c r="B275" s="199"/>
      <c r="C275" s="199"/>
      <c r="D275" s="199"/>
      <c r="E275" s="199"/>
      <c r="F275" s="199"/>
      <c r="G275" s="199"/>
      <c r="H275" s="199"/>
      <c r="I275" s="199"/>
      <c r="J275" s="199"/>
      <c r="K275" s="199"/>
      <c r="L275" s="199"/>
      <c r="M275" s="199"/>
      <c r="N275" s="199"/>
    </row>
    <row r="276" spans="1:14" x14ac:dyDescent="0.35">
      <c r="A276" s="199"/>
      <c r="B276" s="199"/>
      <c r="C276" s="199"/>
      <c r="D276" s="199"/>
      <c r="E276" s="199"/>
      <c r="F276" s="199"/>
      <c r="G276" s="199"/>
      <c r="H276" s="199"/>
      <c r="I276" s="199"/>
      <c r="J276" s="199"/>
      <c r="K276" s="199"/>
      <c r="L276" s="199"/>
      <c r="M276" s="199"/>
      <c r="N276" s="199"/>
    </row>
    <row r="277" spans="1:14" x14ac:dyDescent="0.35">
      <c r="A277" s="199"/>
      <c r="B277" s="199"/>
      <c r="C277" s="199"/>
      <c r="D277" s="199"/>
      <c r="E277" s="199"/>
      <c r="F277" s="199"/>
      <c r="G277" s="199"/>
      <c r="H277" s="199"/>
      <c r="I277" s="199"/>
      <c r="J277" s="199"/>
      <c r="K277" s="199"/>
      <c r="L277" s="199"/>
      <c r="M277" s="199"/>
      <c r="N277" s="199"/>
    </row>
    <row r="278" spans="1:14" x14ac:dyDescent="0.35">
      <c r="A278" s="199"/>
      <c r="B278" s="199"/>
      <c r="C278" s="199"/>
      <c r="D278" s="199"/>
      <c r="E278" s="199"/>
      <c r="F278" s="199"/>
      <c r="G278" s="199"/>
      <c r="H278" s="199"/>
      <c r="I278" s="199"/>
      <c r="J278" s="199"/>
      <c r="K278" s="199"/>
      <c r="L278" s="199"/>
      <c r="M278" s="199"/>
      <c r="N278" s="199"/>
    </row>
    <row r="279" spans="1:14" x14ac:dyDescent="0.35">
      <c r="A279" s="199"/>
      <c r="B279" s="199"/>
      <c r="C279" s="199"/>
      <c r="D279" s="199"/>
      <c r="E279" s="199"/>
      <c r="F279" s="199"/>
      <c r="G279" s="199"/>
      <c r="H279" s="199"/>
      <c r="I279" s="199"/>
      <c r="J279" s="199"/>
      <c r="K279" s="199"/>
      <c r="L279" s="199"/>
      <c r="M279" s="199"/>
      <c r="N279" s="199"/>
    </row>
    <row r="280" spans="1:14" x14ac:dyDescent="0.35">
      <c r="A280" s="199"/>
      <c r="B280" s="199"/>
      <c r="C280" s="199"/>
      <c r="D280" s="199"/>
      <c r="E280" s="199"/>
      <c r="F280" s="199"/>
      <c r="G280" s="199"/>
      <c r="H280" s="199"/>
      <c r="I280" s="199"/>
      <c r="J280" s="199"/>
      <c r="K280" s="199"/>
      <c r="L280" s="199"/>
      <c r="M280" s="199"/>
      <c r="N280" s="199"/>
    </row>
    <row r="281" spans="1:14" x14ac:dyDescent="0.35">
      <c r="A281" s="199"/>
      <c r="B281" s="199"/>
      <c r="C281" s="199"/>
      <c r="D281" s="199"/>
      <c r="E281" s="199"/>
      <c r="F281" s="199"/>
      <c r="G281" s="199"/>
      <c r="H281" s="199"/>
      <c r="I281" s="199"/>
      <c r="J281" s="199"/>
      <c r="K281" s="199"/>
      <c r="L281" s="199"/>
      <c r="M281" s="199"/>
      <c r="N281" s="199"/>
    </row>
    <row r="282" spans="1:14" x14ac:dyDescent="0.35">
      <c r="A282" s="199"/>
      <c r="B282" s="199"/>
      <c r="C282" s="199"/>
      <c r="D282" s="199"/>
      <c r="E282" s="199"/>
      <c r="F282" s="199"/>
      <c r="G282" s="199"/>
      <c r="H282" s="199"/>
      <c r="I282" s="199"/>
      <c r="J282" s="199"/>
      <c r="K282" s="199"/>
      <c r="L282" s="199"/>
      <c r="M282" s="199"/>
      <c r="N282" s="199"/>
    </row>
    <row r="283" spans="1:14" x14ac:dyDescent="0.35">
      <c r="A283" s="199"/>
      <c r="B283" s="199"/>
      <c r="C283" s="199"/>
      <c r="D283" s="199"/>
      <c r="E283" s="199"/>
      <c r="F283" s="199"/>
      <c r="G283" s="199"/>
      <c r="H283" s="199"/>
      <c r="I283" s="199"/>
      <c r="J283" s="199"/>
      <c r="K283" s="199"/>
      <c r="L283" s="199"/>
      <c r="M283" s="199"/>
      <c r="N283" s="199"/>
    </row>
    <row r="284" spans="1:14" x14ac:dyDescent="0.35">
      <c r="A284" s="199"/>
      <c r="B284" s="199"/>
      <c r="C284" s="199"/>
      <c r="D284" s="199"/>
      <c r="E284" s="199"/>
      <c r="F284" s="199"/>
      <c r="G284" s="199"/>
      <c r="H284" s="199"/>
      <c r="I284" s="199"/>
      <c r="J284" s="199"/>
      <c r="K284" s="199"/>
      <c r="L284" s="199"/>
      <c r="M284" s="199"/>
      <c r="N284" s="199"/>
    </row>
    <row r="285" spans="1:14" x14ac:dyDescent="0.35">
      <c r="A285" s="199"/>
      <c r="B285" s="199"/>
      <c r="C285" s="199"/>
      <c r="D285" s="199"/>
      <c r="E285" s="199"/>
      <c r="F285" s="199"/>
      <c r="G285" s="199"/>
      <c r="H285" s="199"/>
      <c r="I285" s="199"/>
      <c r="J285" s="199"/>
      <c r="K285" s="199"/>
      <c r="L285" s="199"/>
      <c r="M285" s="199"/>
      <c r="N285" s="199"/>
    </row>
    <row r="286" spans="1:14" x14ac:dyDescent="0.35">
      <c r="A286" s="199"/>
      <c r="B286" s="199"/>
      <c r="C286" s="199"/>
      <c r="D286" s="199"/>
      <c r="E286" s="199"/>
      <c r="F286" s="199"/>
      <c r="G286" s="199"/>
      <c r="H286" s="199"/>
      <c r="I286" s="199"/>
      <c r="J286" s="199"/>
      <c r="K286" s="199"/>
      <c r="L286" s="199"/>
      <c r="M286" s="199"/>
      <c r="N286" s="199"/>
    </row>
    <row r="287" spans="1:14" x14ac:dyDescent="0.35">
      <c r="A287" s="199"/>
      <c r="B287" s="199"/>
      <c r="C287" s="199"/>
      <c r="D287" s="199"/>
      <c r="E287" s="199"/>
      <c r="F287" s="199"/>
      <c r="G287" s="199"/>
      <c r="H287" s="199"/>
      <c r="I287" s="199"/>
      <c r="J287" s="199"/>
      <c r="K287" s="199"/>
      <c r="L287" s="199"/>
      <c r="M287" s="199"/>
      <c r="N287" s="199"/>
    </row>
    <row r="288" spans="1:14" x14ac:dyDescent="0.35">
      <c r="A288" s="199"/>
      <c r="B288" s="199"/>
      <c r="C288" s="199"/>
      <c r="D288" s="199"/>
      <c r="E288" s="199"/>
      <c r="F288" s="199"/>
      <c r="G288" s="199"/>
      <c r="H288" s="199"/>
      <c r="I288" s="199"/>
      <c r="J288" s="199"/>
      <c r="K288" s="199"/>
      <c r="L288" s="199"/>
      <c r="M288" s="199"/>
      <c r="N288" s="199"/>
    </row>
    <row r="289" spans="1:14" x14ac:dyDescent="0.35">
      <c r="A289" s="199"/>
      <c r="B289" s="199"/>
      <c r="C289" s="199"/>
      <c r="D289" s="199"/>
      <c r="E289" s="199"/>
      <c r="F289" s="199"/>
      <c r="G289" s="199"/>
      <c r="H289" s="199"/>
      <c r="I289" s="199"/>
      <c r="J289" s="199"/>
      <c r="K289" s="199"/>
      <c r="L289" s="199"/>
      <c r="M289" s="199"/>
      <c r="N289" s="199"/>
    </row>
    <row r="290" spans="1:14" x14ac:dyDescent="0.35">
      <c r="A290" s="199"/>
      <c r="B290" s="199"/>
      <c r="C290" s="199"/>
      <c r="D290" s="199"/>
      <c r="E290" s="199"/>
      <c r="F290" s="199"/>
      <c r="G290" s="199"/>
      <c r="H290" s="199"/>
      <c r="I290" s="199"/>
      <c r="J290" s="199"/>
      <c r="K290" s="199"/>
      <c r="L290" s="199"/>
      <c r="M290" s="199"/>
      <c r="N290" s="199"/>
    </row>
    <row r="291" spans="1:14" x14ac:dyDescent="0.35">
      <c r="A291" s="199"/>
      <c r="B291" s="199"/>
      <c r="C291" s="199"/>
      <c r="D291" s="199"/>
      <c r="E291" s="199"/>
      <c r="F291" s="199"/>
      <c r="G291" s="199"/>
      <c r="H291" s="199"/>
      <c r="I291" s="199"/>
      <c r="J291" s="199"/>
      <c r="K291" s="199"/>
      <c r="L291" s="199"/>
      <c r="M291" s="199"/>
      <c r="N291" s="199"/>
    </row>
  </sheetData>
  <sheetProtection algorithmName="SHA-512" hashValue="qyLhImm8y7g5Wjn/KY++1UwYZx0DgprQ+x6IFwqWIGcyRp4pti44F2scbLZbT9MBs89qClH/8xLnbLDvJ0ePng==" saltValue="fzj8Rf0JM9/k1F1hUfr7OA==" spinCount="100000" sheet="1" objects="1" scenarios="1"/>
  <sortState xmlns:xlrd2="http://schemas.microsoft.com/office/spreadsheetml/2017/richdata2" ref="Q24:Q78">
    <sortCondition ref="Q24:Q78"/>
  </sortState>
  <mergeCells count="14">
    <mergeCell ref="H24:N24"/>
    <mergeCell ref="J14:M14"/>
    <mergeCell ref="J16:M16"/>
    <mergeCell ref="J18:M18"/>
    <mergeCell ref="J15:M15"/>
    <mergeCell ref="J17:M17"/>
    <mergeCell ref="F18:H18"/>
    <mergeCell ref="A1:L2"/>
    <mergeCell ref="I4:L4"/>
    <mergeCell ref="E10:J10"/>
    <mergeCell ref="C13:E13"/>
    <mergeCell ref="J19:M19"/>
    <mergeCell ref="A23:C23"/>
    <mergeCell ref="H21:K21"/>
  </mergeCells>
  <conditionalFormatting sqref="H23">
    <cfRule type="containsErrors" dxfId="61" priority="2">
      <formula>ISERROR(H23)</formula>
    </cfRule>
  </conditionalFormatting>
  <conditionalFormatting sqref="H24:N24">
    <cfRule type="containsErrors" dxfId="60" priority="1">
      <formula>ISERROR(H24)</formula>
    </cfRule>
  </conditionalFormatting>
  <conditionalFormatting sqref="I4:L4">
    <cfRule type="containsText" dxfId="59" priority="5" operator="containsText" text="დაბალი">
      <formula>NOT(ISERROR(SEARCH("დაბალი",I4)))</formula>
    </cfRule>
    <cfRule type="containsText" dxfId="58" priority="6" operator="containsText" text="მაღალი რისკის რეგიონი">
      <formula>NOT(ISERROR(SEARCH("მაღალი რისკის რეგიონი",I4)))</formula>
    </cfRule>
    <cfRule type="containsText" dxfId="57" priority="7" operator="containsText" text="ძალიან">
      <formula>NOT(ISERROR(SEARCH("ძალიან",I4)))</formula>
    </cfRule>
    <cfRule type="containsText" dxfId="56" priority="8" operator="containsText" text="ზომიერი">
      <formula>NOT(ISERROR(SEARCH("ზომიერი",I4)))</formula>
    </cfRule>
  </conditionalFormatting>
  <conditionalFormatting sqref="L21">
    <cfRule type="containsErrors" dxfId="55" priority="3">
      <formula>ISERROR(L21)</formula>
    </cfRule>
    <cfRule type="colorScale" priority="4">
      <colorScale>
        <cfvo type="num" val="0"/>
        <cfvo type="num" val="19"/>
        <cfvo type="num" val="20"/>
        <color theme="9" tint="0.39997558519241921"/>
        <color theme="7" tint="0.79998168889431442"/>
        <color rgb="FFFF7C80"/>
      </colorScale>
    </cfRule>
  </conditionalFormatting>
  <hyperlinks>
    <hyperlink ref="H24:N24" location="TOD!A1" display="TOD!A1" xr:uid="{F55D93D8-6A6E-4109-8B62-B6C885A14C5D}"/>
    <hyperlink ref="A1:L2" location="Main!A1" display="SCORE2-Diabetes calculator" xr:uid="{384106EF-175D-4209-9D88-56C7CEA10ED9}"/>
  </hyperlinks>
  <pageMargins left="0.7" right="0.7" top="0.75" bottom="0.75" header="0.3" footer="0.3"/>
  <pageSetup paperSize="9" orientation="landscape" horizontalDpi="4294967292" verticalDpi="0" r:id="rId1"/>
  <drawing r:id="rId2"/>
  <legacyDrawing r:id="rId3"/>
  <controls>
    <mc:AlternateContent xmlns:mc="http://schemas.openxmlformats.org/markup-compatibility/2006">
      <mc:Choice Requires="x14">
        <control shapeId="4104" r:id="rId4" name="OptionButton2">
          <controlPr defaultSize="0" autoLine="0" linkedCell="O12" r:id="rId5">
            <anchor moveWithCells="1">
              <from>
                <xdr:col>2</xdr:col>
                <xdr:colOff>317500</xdr:colOff>
                <xdr:row>15</xdr:row>
                <xdr:rowOff>171450</xdr:rowOff>
              </from>
              <to>
                <xdr:col>3</xdr:col>
                <xdr:colOff>31750</xdr:colOff>
                <xdr:row>17</xdr:row>
                <xdr:rowOff>69850</xdr:rowOff>
              </to>
            </anchor>
          </controlPr>
        </control>
      </mc:Choice>
      <mc:Fallback>
        <control shapeId="4104" r:id="rId4" name="OptionButton2"/>
      </mc:Fallback>
    </mc:AlternateContent>
    <mc:AlternateContent xmlns:mc="http://schemas.openxmlformats.org/markup-compatibility/2006">
      <mc:Choice Requires="x14">
        <control shapeId="4103" r:id="rId6" name="Yes">
          <controlPr defaultSize="0" autoLine="0" autoPict="0" linkedCell="O11" r:id="rId7">
            <anchor moveWithCells="1">
              <from>
                <xdr:col>2</xdr:col>
                <xdr:colOff>323850</xdr:colOff>
                <xdr:row>13</xdr:row>
                <xdr:rowOff>165100</xdr:rowOff>
              </from>
              <to>
                <xdr:col>2</xdr:col>
                <xdr:colOff>622300</xdr:colOff>
                <xdr:row>15</xdr:row>
                <xdr:rowOff>50800</xdr:rowOff>
              </to>
            </anchor>
          </controlPr>
        </control>
      </mc:Choice>
      <mc:Fallback>
        <control shapeId="4103" r:id="rId6" name="Yes"/>
      </mc:Fallback>
    </mc:AlternateContent>
    <mc:AlternateContent xmlns:mc="http://schemas.openxmlformats.org/markup-compatibility/2006">
      <mc:Choice Requires="x14">
        <control shapeId="4097" r:id="rId8" name="Drop Down 1">
          <controlPr defaultSize="0" autoLine="0" autoPict="0">
            <anchor moveWithCells="1">
              <from>
                <xdr:col>5</xdr:col>
                <xdr:colOff>323850</xdr:colOff>
                <xdr:row>2</xdr:row>
                <xdr:rowOff>152400</xdr:rowOff>
              </from>
              <to>
                <xdr:col>8</xdr:col>
                <xdr:colOff>57150</xdr:colOff>
                <xdr:row>4</xdr:row>
                <xdr:rowOff>19050</xdr:rowOff>
              </to>
            </anchor>
          </controlPr>
        </control>
      </mc:Choice>
    </mc:AlternateContent>
    <mc:AlternateContent xmlns:mc="http://schemas.openxmlformats.org/markup-compatibility/2006">
      <mc:Choice Requires="x14">
        <control shapeId="4099" r:id="rId9" name="Option Button 3">
          <controlPr defaultSize="0" autoFill="0" autoLine="0" autoPict="0">
            <anchor moveWithCells="1">
              <from>
                <xdr:col>1</xdr:col>
                <xdr:colOff>114300</xdr:colOff>
                <xdr:row>9</xdr:row>
                <xdr:rowOff>152400</xdr:rowOff>
              </from>
              <to>
                <xdr:col>2</xdr:col>
                <xdr:colOff>12700</xdr:colOff>
                <xdr:row>11</xdr:row>
                <xdr:rowOff>0</xdr:rowOff>
              </to>
            </anchor>
          </controlPr>
        </control>
      </mc:Choice>
    </mc:AlternateContent>
    <mc:AlternateContent xmlns:mc="http://schemas.openxmlformats.org/markup-compatibility/2006">
      <mc:Choice Requires="x14">
        <control shapeId="4100" r:id="rId10" name="Option Button 4">
          <controlPr defaultSize="0" autoFill="0" autoLine="0" autoPict="0">
            <anchor moveWithCells="1">
              <from>
                <xdr:col>2</xdr:col>
                <xdr:colOff>584200</xdr:colOff>
                <xdr:row>9</xdr:row>
                <xdr:rowOff>146050</xdr:rowOff>
              </from>
              <to>
                <xdr:col>3</xdr:col>
                <xdr:colOff>476250</xdr:colOff>
                <xdr:row>10</xdr:row>
                <xdr:rowOff>184150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AD120-8224-4043-BB4D-630D7E2A8D38}">
  <dimension ref="A1:N17"/>
  <sheetViews>
    <sheetView workbookViewId="0">
      <selection sqref="A1:N2"/>
    </sheetView>
  </sheetViews>
  <sheetFormatPr defaultColWidth="9" defaultRowHeight="14.5" x14ac:dyDescent="0.35"/>
  <cols>
    <col min="1" max="16384" width="9" style="2"/>
  </cols>
  <sheetData>
    <row r="1" spans="1:14" x14ac:dyDescent="0.35">
      <c r="A1" s="92" t="s">
        <v>234</v>
      </c>
      <c r="B1" s="92"/>
      <c r="C1" s="92"/>
      <c r="D1" s="92"/>
      <c r="E1" s="92"/>
      <c r="F1" s="92"/>
      <c r="G1" s="92"/>
      <c r="H1" s="92"/>
      <c r="I1" s="92"/>
      <c r="J1" s="92"/>
      <c r="K1" s="92"/>
      <c r="L1" s="92"/>
      <c r="M1" s="92"/>
      <c r="N1" s="92"/>
    </row>
    <row r="2" spans="1:14" x14ac:dyDescent="0.35">
      <c r="A2" s="92"/>
      <c r="B2" s="92"/>
      <c r="C2" s="92"/>
      <c r="D2" s="92"/>
      <c r="E2" s="92"/>
      <c r="F2" s="92"/>
      <c r="G2" s="92"/>
      <c r="H2" s="92"/>
      <c r="I2" s="92"/>
      <c r="J2" s="92"/>
      <c r="K2" s="92"/>
      <c r="L2" s="92"/>
      <c r="M2" s="92"/>
      <c r="N2" s="92"/>
    </row>
    <row r="5" spans="1:14" ht="16.5" x14ac:dyDescent="0.35">
      <c r="A5" s="2" t="s">
        <v>238</v>
      </c>
    </row>
    <row r="7" spans="1:14" x14ac:dyDescent="0.35">
      <c r="A7" s="2" t="s">
        <v>219</v>
      </c>
    </row>
    <row r="9" spans="1:14" ht="16.5" x14ac:dyDescent="0.35">
      <c r="A9" s="2" t="s">
        <v>235</v>
      </c>
    </row>
    <row r="11" spans="1:14" x14ac:dyDescent="0.35">
      <c r="A11" s="2" t="s">
        <v>219</v>
      </c>
    </row>
    <row r="13" spans="1:14" x14ac:dyDescent="0.35">
      <c r="A13" s="2" t="s">
        <v>236</v>
      </c>
    </row>
    <row r="15" spans="1:14" x14ac:dyDescent="0.35">
      <c r="A15" s="2" t="s">
        <v>219</v>
      </c>
    </row>
    <row r="17" spans="1:1" x14ac:dyDescent="0.35">
      <c r="A17" s="2" t="s">
        <v>237</v>
      </c>
    </row>
  </sheetData>
  <sheetProtection algorithmName="SHA-512" hashValue="lcO9gpWTiVh5EVyS4mTCUgnP3WsTThi/ULCN2AZBCLz0p4OboMpCEvBstkY9vN5TaiFEjoUgr/WLCIzpMWkY/g==" saltValue="7iSfq9KlzT5YI212kOOCKQ==" spinCount="100000" sheet="1" objects="1" scenarios="1"/>
  <mergeCells count="1">
    <mergeCell ref="A1:N2"/>
  </mergeCells>
  <hyperlinks>
    <hyperlink ref="A1:N2" location="News!A1" display="სამიზნე ორგანოების მძიმე დაზიანება(TOD)" xr:uid="{EB304D48-B73B-4E42-88E9-AFA48DC9997B}"/>
  </hyperlink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8F5D3-9E8E-47EB-9A27-E6656704E356}">
  <dimension ref="A1:AA116"/>
  <sheetViews>
    <sheetView workbookViewId="0">
      <selection sqref="A1:N2"/>
    </sheetView>
  </sheetViews>
  <sheetFormatPr defaultColWidth="9" defaultRowHeight="14.5" x14ac:dyDescent="0.35"/>
  <cols>
    <col min="1" max="9" width="9" style="2"/>
    <col min="10" max="10" width="10.453125" style="2" bestFit="1" customWidth="1"/>
    <col min="11" max="14" width="9" style="2"/>
    <col min="15" max="27" width="9" style="49"/>
    <col min="28" max="16384" width="9" style="2"/>
  </cols>
  <sheetData>
    <row r="1" spans="1:27" x14ac:dyDescent="0.35">
      <c r="A1" s="92" t="s">
        <v>216</v>
      </c>
      <c r="B1" s="92"/>
      <c r="C1" s="92"/>
      <c r="D1" s="92"/>
      <c r="E1" s="92"/>
      <c r="F1" s="92"/>
      <c r="G1" s="92"/>
      <c r="H1" s="92"/>
      <c r="I1" s="92"/>
      <c r="J1" s="92"/>
      <c r="K1" s="92"/>
      <c r="L1" s="92"/>
      <c r="M1" s="92"/>
      <c r="N1" s="92"/>
    </row>
    <row r="2" spans="1:27" x14ac:dyDescent="0.35">
      <c r="A2" s="92"/>
      <c r="B2" s="92"/>
      <c r="C2" s="92"/>
      <c r="D2" s="92"/>
      <c r="E2" s="92"/>
      <c r="F2" s="92"/>
      <c r="G2" s="92"/>
      <c r="H2" s="92"/>
      <c r="I2" s="92"/>
      <c r="J2" s="92"/>
      <c r="K2" s="92"/>
      <c r="L2" s="92"/>
      <c r="M2" s="92"/>
      <c r="N2" s="92"/>
    </row>
    <row r="4" spans="1:27" x14ac:dyDescent="0.35">
      <c r="T4" s="49" t="s">
        <v>227</v>
      </c>
      <c r="Y4" s="49" t="s">
        <v>228</v>
      </c>
    </row>
    <row r="6" spans="1:27" x14ac:dyDescent="0.35">
      <c r="A6" s="2" t="s">
        <v>217</v>
      </c>
      <c r="H6" s="40"/>
      <c r="I6" s="2" t="s">
        <v>218</v>
      </c>
      <c r="J6" s="38" t="s">
        <v>219</v>
      </c>
      <c r="K6" s="40"/>
      <c r="L6" s="2" t="s">
        <v>220</v>
      </c>
      <c r="O6" s="49">
        <v>7</v>
      </c>
      <c r="P6" s="49">
        <v>126</v>
      </c>
      <c r="S6" s="49">
        <v>6.1</v>
      </c>
      <c r="T6" s="49">
        <v>6.9</v>
      </c>
      <c r="U6" s="49">
        <v>110</v>
      </c>
      <c r="V6" s="49">
        <v>125</v>
      </c>
      <c r="X6" s="49">
        <v>5.6</v>
      </c>
      <c r="Y6" s="49">
        <v>6.9</v>
      </c>
      <c r="Z6" s="49">
        <v>100</v>
      </c>
      <c r="AA6" s="49">
        <v>125</v>
      </c>
    </row>
    <row r="8" spans="1:27" x14ac:dyDescent="0.35">
      <c r="A8" s="2" t="s">
        <v>221</v>
      </c>
      <c r="H8" s="39"/>
      <c r="I8" s="2" t="s">
        <v>218</v>
      </c>
      <c r="J8" s="38" t="s">
        <v>219</v>
      </c>
      <c r="K8" s="39"/>
      <c r="L8" s="2" t="s">
        <v>220</v>
      </c>
      <c r="O8" s="49">
        <v>11.1</v>
      </c>
      <c r="P8" s="49">
        <v>200</v>
      </c>
      <c r="S8" s="49">
        <v>7.8</v>
      </c>
      <c r="T8" s="49">
        <v>11</v>
      </c>
      <c r="U8" s="49">
        <v>140</v>
      </c>
      <c r="V8" s="49">
        <v>199</v>
      </c>
      <c r="X8" s="49">
        <v>7.8</v>
      </c>
      <c r="Y8" s="49">
        <v>11</v>
      </c>
      <c r="Z8" s="49">
        <v>140</v>
      </c>
      <c r="AA8" s="49">
        <v>199</v>
      </c>
    </row>
    <row r="10" spans="1:27" x14ac:dyDescent="0.35">
      <c r="A10" s="2" t="s">
        <v>222</v>
      </c>
      <c r="H10" s="39"/>
      <c r="I10" s="2" t="s">
        <v>205</v>
      </c>
      <c r="J10" s="38" t="s">
        <v>219</v>
      </c>
      <c r="K10" s="39"/>
      <c r="L10" s="2" t="s">
        <v>223</v>
      </c>
      <c r="O10" s="49">
        <v>6.5</v>
      </c>
      <c r="P10" s="49">
        <v>48</v>
      </c>
      <c r="S10" s="49">
        <v>6</v>
      </c>
      <c r="T10" s="49">
        <v>6.4</v>
      </c>
      <c r="U10" s="49">
        <v>42</v>
      </c>
      <c r="V10" s="49">
        <v>47</v>
      </c>
      <c r="X10" s="49">
        <v>5.7</v>
      </c>
      <c r="Y10" s="49">
        <v>6.4</v>
      </c>
      <c r="Z10" s="49">
        <v>39</v>
      </c>
      <c r="AA10" s="49">
        <v>47</v>
      </c>
    </row>
    <row r="12" spans="1:27" x14ac:dyDescent="0.35">
      <c r="A12" s="2" t="s">
        <v>224</v>
      </c>
      <c r="H12" s="39"/>
      <c r="I12" s="2" t="s">
        <v>218</v>
      </c>
      <c r="J12" s="38" t="s">
        <v>219</v>
      </c>
      <c r="K12" s="39"/>
      <c r="L12" s="2" t="s">
        <v>220</v>
      </c>
      <c r="O12" s="49">
        <v>11.1</v>
      </c>
      <c r="P12" s="49">
        <v>200</v>
      </c>
    </row>
    <row r="14" spans="1:27" x14ac:dyDescent="0.35">
      <c r="O14" s="49" t="s">
        <v>225</v>
      </c>
    </row>
    <row r="15" spans="1:27" x14ac:dyDescent="0.35">
      <c r="O15" s="49" t="s">
        <v>226</v>
      </c>
    </row>
    <row r="16" spans="1:27" x14ac:dyDescent="0.35">
      <c r="O16" s="49" t="s">
        <v>229</v>
      </c>
    </row>
    <row r="17" spans="1:15" x14ac:dyDescent="0.35">
      <c r="D17" s="41" t="str">
        <f>IF(H6&gt;6.9,O16,IF(K6&gt;125,O16,IF(H8&gt;11,O16,IF(K8&gt;199,O16,IF(H10&gt;6.4,O16,IF(K10&gt;47,O16,IF(H12&gt;11,O16,IF(K12&gt;199,O16,IF(AND(H6&gt;6,H6&lt;7),O17,IF(AND(K6&gt;109,K6&lt;126),O17,IF(AND(H8&gt;7.7,H8&lt;12),O17,IF(AND(K8&gt;139,K8&lt;200),O17,IF(AND(H10&gt;5.9,H10&lt;6.5),O17,IF(AND(K10&gt;41,K10&lt;48),O17,""))))))))))))))</f>
        <v/>
      </c>
      <c r="O17" s="49" t="s">
        <v>230</v>
      </c>
    </row>
    <row r="18" spans="1:15" x14ac:dyDescent="0.35">
      <c r="D18" s="2" t="str">
        <f>IF(H6&gt;6.9,O14,IF(K6&gt;125,O14,IF(H8&gt;11,O14,IF(K8&gt;199,O14,IF(H10&gt;6.4,O14,IF(K10&gt;47,O14,IF(H12&gt;11,O14,IF(K12&gt;199,O14,IF(AND(H6&gt;6,H6&lt;7),O14,IF(AND(K6&gt;109,K6&lt;126),O14,IF(AND(H8&gt;7.7,H8&lt;12),O14,IF(AND(K8&gt;139,K8&lt;200),O14,IF(AND(H10&gt;5.9,H10&lt;6.5),O14,IF(AND(K10&gt;41,K10&lt;48),O14,""))))))))))))))</f>
        <v/>
      </c>
    </row>
    <row r="19" spans="1:15" x14ac:dyDescent="0.35">
      <c r="D19" s="2" t="str">
        <f>IF(H6&gt;6.9,O15,IF(K6&gt;125,O15,IF(H8&gt;11,O15,IF(K8&gt;199,O15,IF(H10&gt;6.4,O15,IF(K10&gt;47,O15,IF(H12&gt;11,O15,IF(K12&gt;199,O15,""))))))))</f>
        <v/>
      </c>
    </row>
    <row r="20" spans="1:15" x14ac:dyDescent="0.35">
      <c r="D20" s="42" t="str">
        <f>IF(D17="შაქრიანი დიაბეტი","სიმპტომების შემთხვევაში საკმარისია ერთი ტესტის გადახრა; უსიმპტომო მიმდინარეობის შემთხვევაში, აუცილებელია ორი ტესტის გადახრა","")</f>
        <v/>
      </c>
    </row>
    <row r="21" spans="1:15" x14ac:dyDescent="0.35">
      <c r="D21" s="41" t="str">
        <f>IF(AND(H6&gt;5.5,H6&lt;7),O17,IF(AND(K6&gt;99,K6&lt;126),O17,IF(AND(H8&gt;7.7,H8&lt;12),O17,IF(AND(K8&gt;139,K8&lt;200),O17,IF(AND(H10&gt;5.6,H10&lt;6.5),O17,IF(AND(K10&gt;38,K10&lt;48),O17,""))))))</f>
        <v/>
      </c>
    </row>
    <row r="22" spans="1:15" x14ac:dyDescent="0.35">
      <c r="D22" s="2" t="str">
        <f>IF(AND(H6&gt;5.5,H6&lt;7),O15,IF(AND(K6&gt;99,K6&lt;126),O15,IF(AND(H8&gt;7.7,H8&lt;12),O15,IF(AND(K8&gt;139,K8&lt;200),O15,IF(AND(H10&gt;5.6,H10&lt;6.5),O15,IF(AND(K10&gt;38,K10&lt;48),O15,""))))))</f>
        <v/>
      </c>
    </row>
    <row r="32" spans="1:15" x14ac:dyDescent="0.35">
      <c r="A32" s="31" t="s">
        <v>231</v>
      </c>
      <c r="B32" s="28"/>
      <c r="C32" s="28"/>
      <c r="D32" s="28"/>
      <c r="E32" s="28"/>
      <c r="F32" s="28"/>
      <c r="G32" s="28"/>
      <c r="H32" s="28"/>
      <c r="I32" s="30"/>
      <c r="J32" s="28"/>
      <c r="K32" s="28"/>
      <c r="L32" s="28"/>
      <c r="M32" s="29" t="s">
        <v>8</v>
      </c>
      <c r="N32" s="29" t="s">
        <v>30</v>
      </c>
    </row>
    <row r="33" spans="1:14" ht="15" customHeight="1" x14ac:dyDescent="0.35">
      <c r="A33" s="106" t="s">
        <v>232</v>
      </c>
      <c r="B33" s="107"/>
      <c r="C33" s="107"/>
      <c r="D33" s="107"/>
      <c r="E33" s="107"/>
      <c r="F33" s="107"/>
      <c r="G33" s="107"/>
      <c r="H33" s="107"/>
      <c r="I33" s="107"/>
      <c r="J33" s="107"/>
      <c r="K33" s="107"/>
      <c r="L33" s="108"/>
      <c r="M33" s="102" t="s">
        <v>66</v>
      </c>
      <c r="N33" s="103" t="s">
        <v>207</v>
      </c>
    </row>
    <row r="34" spans="1:14" x14ac:dyDescent="0.35">
      <c r="A34" s="109"/>
      <c r="B34" s="110"/>
      <c r="C34" s="110"/>
      <c r="D34" s="110"/>
      <c r="E34" s="110"/>
      <c r="F34" s="110"/>
      <c r="G34" s="110"/>
      <c r="H34" s="110"/>
      <c r="I34" s="110"/>
      <c r="J34" s="110"/>
      <c r="K34" s="110"/>
      <c r="L34" s="111"/>
      <c r="M34" s="102"/>
      <c r="N34" s="103"/>
    </row>
    <row r="35" spans="1:14" x14ac:dyDescent="0.35">
      <c r="A35" s="112"/>
      <c r="B35" s="113"/>
      <c r="C35" s="113"/>
      <c r="D35" s="113"/>
      <c r="E35" s="113"/>
      <c r="F35" s="113"/>
      <c r="G35" s="113"/>
      <c r="H35" s="113"/>
      <c r="I35" s="113"/>
      <c r="J35" s="113"/>
      <c r="K35" s="113"/>
      <c r="L35" s="114"/>
      <c r="M35" s="102"/>
      <c r="N35" s="103"/>
    </row>
    <row r="36" spans="1:14" x14ac:dyDescent="0.35">
      <c r="A36" s="106" t="s">
        <v>233</v>
      </c>
      <c r="B36" s="107"/>
      <c r="C36" s="107"/>
      <c r="D36" s="107"/>
      <c r="E36" s="107"/>
      <c r="F36" s="107"/>
      <c r="G36" s="107"/>
      <c r="H36" s="107"/>
      <c r="I36" s="107"/>
      <c r="J36" s="107"/>
      <c r="K36" s="107"/>
      <c r="L36" s="108"/>
      <c r="M36" s="102" t="s">
        <v>66</v>
      </c>
      <c r="N36" s="101" t="s">
        <v>67</v>
      </c>
    </row>
    <row r="37" spans="1:14" x14ac:dyDescent="0.35">
      <c r="A37" s="109"/>
      <c r="B37" s="110"/>
      <c r="C37" s="110"/>
      <c r="D37" s="110"/>
      <c r="E37" s="110"/>
      <c r="F37" s="110"/>
      <c r="G37" s="110"/>
      <c r="H37" s="110"/>
      <c r="I37" s="110"/>
      <c r="J37" s="110"/>
      <c r="K37" s="110"/>
      <c r="L37" s="111"/>
      <c r="M37" s="102"/>
      <c r="N37" s="101"/>
    </row>
    <row r="38" spans="1:14" x14ac:dyDescent="0.35">
      <c r="A38" s="112"/>
      <c r="B38" s="113"/>
      <c r="C38" s="113"/>
      <c r="D38" s="113"/>
      <c r="E38" s="113"/>
      <c r="F38" s="113"/>
      <c r="G38" s="113"/>
      <c r="H38" s="113"/>
      <c r="I38" s="113"/>
      <c r="J38" s="113"/>
      <c r="K38" s="113"/>
      <c r="L38" s="114"/>
      <c r="M38" s="102"/>
      <c r="N38" s="101"/>
    </row>
    <row r="63" spans="1:24" x14ac:dyDescent="0.35">
      <c r="A63" s="92" t="s">
        <v>239</v>
      </c>
      <c r="B63" s="92"/>
      <c r="C63" s="92"/>
      <c r="D63" s="92"/>
      <c r="E63" s="92"/>
      <c r="F63" s="92"/>
      <c r="G63" s="92"/>
      <c r="H63" s="92"/>
      <c r="I63" s="92"/>
      <c r="J63" s="92"/>
      <c r="K63" s="92"/>
      <c r="L63" s="92"/>
      <c r="M63" s="92"/>
      <c r="N63" s="92"/>
    </row>
    <row r="64" spans="1:24" x14ac:dyDescent="0.35">
      <c r="A64" s="92"/>
      <c r="B64" s="92"/>
      <c r="C64" s="92"/>
      <c r="D64" s="92"/>
      <c r="E64" s="92"/>
      <c r="F64" s="92"/>
      <c r="G64" s="92"/>
      <c r="H64" s="92"/>
      <c r="I64" s="92"/>
      <c r="J64" s="92"/>
      <c r="K64" s="92"/>
      <c r="L64" s="92"/>
      <c r="M64" s="92"/>
      <c r="N64" s="92"/>
      <c r="X64" s="47" t="s">
        <v>273</v>
      </c>
    </row>
    <row r="65" spans="1:20" x14ac:dyDescent="0.35">
      <c r="N65" s="5"/>
    </row>
    <row r="66" spans="1:20" ht="15.5" x14ac:dyDescent="0.35">
      <c r="A66" s="43" t="s">
        <v>240</v>
      </c>
      <c r="N66" s="5"/>
    </row>
    <row r="67" spans="1:20" x14ac:dyDescent="0.35">
      <c r="A67" s="2" t="s">
        <v>241</v>
      </c>
      <c r="N67" s="5"/>
    </row>
    <row r="68" spans="1:20" x14ac:dyDescent="0.35">
      <c r="N68" s="5"/>
    </row>
    <row r="69" spans="1:20" x14ac:dyDescent="0.35">
      <c r="B69" s="2" t="s">
        <v>247</v>
      </c>
      <c r="C69" s="51"/>
      <c r="D69" s="2" t="s">
        <v>187</v>
      </c>
      <c r="N69" s="5">
        <f>IF(C69&lt;50,0,IF(AND(C69&gt;49,C69&lt;60),1,IF(AND(C69&gt;59,C69&lt;70),2,IF(AND(C69&gt;69,C69&lt;80),3,IF(C69&gt;79,4,"")))))</f>
        <v>0</v>
      </c>
      <c r="O69" s="49" t="s">
        <v>242</v>
      </c>
      <c r="P69" s="49">
        <v>0</v>
      </c>
    </row>
    <row r="70" spans="1:20" x14ac:dyDescent="0.35">
      <c r="N70" s="5"/>
      <c r="O70" s="49" t="s">
        <v>243</v>
      </c>
      <c r="P70" s="49">
        <v>1</v>
      </c>
    </row>
    <row r="71" spans="1:20" x14ac:dyDescent="0.35">
      <c r="B71" s="2" t="s">
        <v>248</v>
      </c>
      <c r="N71" s="5" t="str">
        <f>IF(Q71,1,"")</f>
        <v/>
      </c>
      <c r="O71" s="49" t="s">
        <v>244</v>
      </c>
      <c r="P71" s="49">
        <v>2</v>
      </c>
      <c r="Q71" s="50" t="b">
        <v>0</v>
      </c>
      <c r="T71" s="47"/>
    </row>
    <row r="72" spans="1:20" x14ac:dyDescent="0.35">
      <c r="N72" s="5"/>
      <c r="O72" s="49" t="s">
        <v>245</v>
      </c>
      <c r="P72" s="49">
        <v>3</v>
      </c>
    </row>
    <row r="73" spans="1:20" ht="15.5" x14ac:dyDescent="0.35">
      <c r="B73" s="2" t="s">
        <v>249</v>
      </c>
      <c r="J73" s="46" t="str">
        <f>IF(E113&lt;50,"*","")</f>
        <v/>
      </c>
      <c r="M73" s="38" t="str">
        <f>IF(E113&gt;49,"*","")</f>
        <v>*</v>
      </c>
      <c r="N73" s="5" t="str">
        <f>IF(Q73,1,"")</f>
        <v/>
      </c>
      <c r="O73" s="49" t="s">
        <v>246</v>
      </c>
      <c r="P73" s="49">
        <v>4</v>
      </c>
      <c r="Q73" s="50" t="b">
        <v>0</v>
      </c>
    </row>
    <row r="74" spans="1:20" x14ac:dyDescent="0.35">
      <c r="J74" s="126" t="str">
        <f>IF(E113&lt;50,X64,"")</f>
        <v/>
      </c>
      <c r="M74" s="123" t="str">
        <f>IF(E113&gt;49,X64,"")</f>
        <v>ê</v>
      </c>
      <c r="N74" s="5"/>
    </row>
    <row r="75" spans="1:20" x14ac:dyDescent="0.35">
      <c r="B75" s="2" t="s">
        <v>250</v>
      </c>
      <c r="J75" s="126"/>
      <c r="M75" s="123"/>
      <c r="N75" s="5" t="str">
        <f>IF(Q75,1,"")</f>
        <v/>
      </c>
      <c r="Q75" s="50" t="b">
        <v>0</v>
      </c>
    </row>
    <row r="76" spans="1:20" ht="15" customHeight="1" x14ac:dyDescent="0.35">
      <c r="I76" s="127" t="str">
        <f>IF(E113&lt;50,"სამიზნე HbA1c&lt;69 მმოლ/მოლ ანუ &lt;8.5%",IF(E113&gt;49,"სამიზნე HbA1c&lt;53 მმოლ/მოლ ანუ &lt;7.0%",""))</f>
        <v>სამიზნე HbA1c&lt;53 მმოლ/მოლ ანუ &lt;7.0%</v>
      </c>
      <c r="J76" s="127"/>
      <c r="K76" s="127"/>
      <c r="L76" s="127"/>
      <c r="M76" s="127"/>
      <c r="N76" s="48" t="str">
        <f>IF(Q77,1,"")</f>
        <v/>
      </c>
    </row>
    <row r="77" spans="1:20" ht="15" customHeight="1" x14ac:dyDescent="0.35">
      <c r="A77" s="44"/>
      <c r="B77" s="125" t="s">
        <v>251</v>
      </c>
      <c r="C77" s="125"/>
      <c r="D77" s="125"/>
      <c r="E77" s="125"/>
      <c r="F77" s="125"/>
      <c r="G77" s="125"/>
      <c r="I77" s="127"/>
      <c r="J77" s="127"/>
      <c r="K77" s="127"/>
      <c r="L77" s="127"/>
      <c r="M77" s="127"/>
      <c r="N77" s="48"/>
      <c r="Q77" s="50" t="b">
        <v>0</v>
      </c>
    </row>
    <row r="78" spans="1:20" x14ac:dyDescent="0.35">
      <c r="A78" s="44"/>
      <c r="B78" s="125"/>
      <c r="C78" s="125"/>
      <c r="D78" s="125"/>
      <c r="E78" s="125"/>
      <c r="F78" s="125"/>
      <c r="G78" s="125"/>
      <c r="I78" s="127"/>
      <c r="J78" s="127"/>
      <c r="K78" s="127"/>
      <c r="L78" s="127"/>
      <c r="M78" s="127"/>
      <c r="N78" s="48"/>
    </row>
    <row r="79" spans="1:20" ht="15" customHeight="1" x14ac:dyDescent="0.35">
      <c r="I79" s="124" t="str">
        <f>IF(E113&lt;50,"სიმპტომების (პოლიურია, პოლიდიფსია) შემთხვევაში - სამიზნე მაჩვენებლის ადაპტირება",IF(E113&gt;49,"თვიდან აიცილეთ ჰიპოგლიკემიის ეპიზოდები",""))</f>
        <v>თვიდან აიცილეთ ჰიპოგლიკემიის ეპიზოდები</v>
      </c>
      <c r="J79" s="124"/>
      <c r="K79" s="124"/>
      <c r="L79" s="124"/>
      <c r="M79" s="124"/>
      <c r="N79" s="5" t="str">
        <f>IF(Q79,1,"")</f>
        <v/>
      </c>
      <c r="Q79" s="50" t="b">
        <v>0</v>
      </c>
    </row>
    <row r="80" spans="1:20" x14ac:dyDescent="0.35">
      <c r="B80" s="2" t="s">
        <v>252</v>
      </c>
      <c r="I80" s="124"/>
      <c r="J80" s="124"/>
      <c r="K80" s="124"/>
      <c r="L80" s="124"/>
      <c r="M80" s="124"/>
      <c r="N80" s="5"/>
    </row>
    <row r="81" spans="2:17" x14ac:dyDescent="0.35">
      <c r="I81" s="124"/>
      <c r="J81" s="124"/>
      <c r="K81" s="124"/>
      <c r="L81" s="124"/>
      <c r="M81" s="124"/>
      <c r="N81" s="5" t="str">
        <f>IF(Q81,1,"")</f>
        <v/>
      </c>
      <c r="Q81" s="50" t="b">
        <v>0</v>
      </c>
    </row>
    <row r="82" spans="2:17" x14ac:dyDescent="0.35">
      <c r="B82" s="2" t="s">
        <v>253</v>
      </c>
      <c r="N82" s="5"/>
    </row>
    <row r="83" spans="2:17" x14ac:dyDescent="0.35">
      <c r="N83" s="5" t="str">
        <f>IF(Q83,1,"")</f>
        <v/>
      </c>
      <c r="Q83" s="50" t="b">
        <v>0</v>
      </c>
    </row>
    <row r="84" spans="2:17" x14ac:dyDescent="0.35">
      <c r="B84" s="2" t="s">
        <v>254</v>
      </c>
      <c r="N84" s="5"/>
    </row>
    <row r="85" spans="2:17" x14ac:dyDescent="0.35">
      <c r="N85" s="5" t="str">
        <f>IF(Q85,1,"")</f>
        <v/>
      </c>
      <c r="Q85" s="50" t="b">
        <v>0</v>
      </c>
    </row>
    <row r="86" spans="2:17" x14ac:dyDescent="0.35">
      <c r="B86" s="2" t="s">
        <v>255</v>
      </c>
      <c r="N86" s="5"/>
    </row>
    <row r="87" spans="2:17" x14ac:dyDescent="0.35">
      <c r="N87" s="5"/>
    </row>
    <row r="88" spans="2:17" x14ac:dyDescent="0.35">
      <c r="B88" s="2" t="s">
        <v>256</v>
      </c>
      <c r="N88" s="5" t="str">
        <f>IF(Q88,3,"")</f>
        <v/>
      </c>
      <c r="Q88" s="50" t="b">
        <v>0</v>
      </c>
    </row>
    <row r="89" spans="2:17" x14ac:dyDescent="0.35">
      <c r="C89" s="2" t="s">
        <v>263</v>
      </c>
      <c r="N89" s="5" t="str">
        <f>IF(Q89,3,"")</f>
        <v/>
      </c>
      <c r="Q89" s="50" t="b">
        <v>0</v>
      </c>
    </row>
    <row r="90" spans="2:17" x14ac:dyDescent="0.35">
      <c r="C90" s="2" t="s">
        <v>264</v>
      </c>
      <c r="N90" s="5" t="str">
        <f>IF(Q90,1,"")</f>
        <v/>
      </c>
      <c r="Q90" s="50" t="b">
        <v>0</v>
      </c>
    </row>
    <row r="91" spans="2:17" x14ac:dyDescent="0.35">
      <c r="C91" s="2" t="s">
        <v>265</v>
      </c>
      <c r="N91" s="5"/>
    </row>
    <row r="92" spans="2:17" x14ac:dyDescent="0.35">
      <c r="N92" s="5"/>
    </row>
    <row r="93" spans="2:17" x14ac:dyDescent="0.35">
      <c r="B93" s="2" t="s">
        <v>257</v>
      </c>
      <c r="N93" s="5"/>
    </row>
    <row r="94" spans="2:17" x14ac:dyDescent="0.35">
      <c r="C94" s="2" t="s">
        <v>270</v>
      </c>
      <c r="N94" s="5" t="str">
        <f>IF(Q94,0,"")</f>
        <v/>
      </c>
      <c r="Q94" s="50" t="b">
        <v>0</v>
      </c>
    </row>
    <row r="95" spans="2:17" x14ac:dyDescent="0.35">
      <c r="C95" s="2" t="s">
        <v>266</v>
      </c>
      <c r="N95" s="5" t="str">
        <f>IF(Q95,1,"")</f>
        <v/>
      </c>
      <c r="Q95" s="50" t="b">
        <v>0</v>
      </c>
    </row>
    <row r="96" spans="2:17" x14ac:dyDescent="0.35">
      <c r="C96" s="2" t="s">
        <v>267</v>
      </c>
      <c r="N96" s="5" t="str">
        <f>IF(Q96,2,"")</f>
        <v/>
      </c>
      <c r="Q96" s="50" t="b">
        <v>0</v>
      </c>
    </row>
    <row r="97" spans="2:17" x14ac:dyDescent="0.35">
      <c r="N97" s="5"/>
    </row>
    <row r="98" spans="2:17" x14ac:dyDescent="0.35">
      <c r="B98" s="2" t="s">
        <v>258</v>
      </c>
      <c r="N98" s="5" t="str">
        <f>IF(Q98,2,"")</f>
        <v/>
      </c>
      <c r="Q98" s="50" t="b">
        <v>0</v>
      </c>
    </row>
    <row r="99" spans="2:17" x14ac:dyDescent="0.35">
      <c r="N99" s="5"/>
    </row>
    <row r="100" spans="2:17" x14ac:dyDescent="0.35">
      <c r="B100" s="2" t="s">
        <v>271</v>
      </c>
      <c r="N100" s="5" t="str">
        <f>IF(Q100,2,"")</f>
        <v/>
      </c>
      <c r="Q100" s="50" t="b">
        <v>0</v>
      </c>
    </row>
    <row r="101" spans="2:17" x14ac:dyDescent="0.35">
      <c r="N101" s="5"/>
    </row>
    <row r="102" spans="2:17" x14ac:dyDescent="0.35">
      <c r="B102" s="2" t="s">
        <v>259</v>
      </c>
      <c r="N102" s="5"/>
    </row>
    <row r="103" spans="2:17" x14ac:dyDescent="0.35">
      <c r="C103" s="2" t="s">
        <v>268</v>
      </c>
      <c r="N103" s="5" t="str">
        <f>IF(Q103,2,"")</f>
        <v/>
      </c>
      <c r="Q103" s="50" t="b">
        <v>0</v>
      </c>
    </row>
    <row r="104" spans="2:17" x14ac:dyDescent="0.35">
      <c r="C104" s="2" t="s">
        <v>269</v>
      </c>
      <c r="N104" s="5" t="str">
        <f>IF(Q104,6,"")</f>
        <v/>
      </c>
      <c r="Q104" s="50" t="b">
        <v>0</v>
      </c>
    </row>
    <row r="105" spans="2:17" x14ac:dyDescent="0.35">
      <c r="N105" s="5"/>
    </row>
    <row r="106" spans="2:17" x14ac:dyDescent="0.35">
      <c r="B106" s="2" t="s">
        <v>260</v>
      </c>
      <c r="N106" s="5" t="str">
        <f>IF(Q106,2,"")</f>
        <v/>
      </c>
      <c r="Q106" s="50" t="b">
        <v>0</v>
      </c>
    </row>
    <row r="107" spans="2:17" x14ac:dyDescent="0.35">
      <c r="N107" s="5"/>
    </row>
    <row r="108" spans="2:17" x14ac:dyDescent="0.35">
      <c r="B108" s="2" t="s">
        <v>261</v>
      </c>
      <c r="N108" s="5" t="str">
        <f>IF(Q108,2,"")</f>
        <v/>
      </c>
      <c r="Q108" s="50" t="b">
        <v>0</v>
      </c>
    </row>
    <row r="109" spans="2:17" x14ac:dyDescent="0.35">
      <c r="N109" s="5"/>
    </row>
    <row r="110" spans="2:17" x14ac:dyDescent="0.35">
      <c r="B110" s="2" t="s">
        <v>262</v>
      </c>
      <c r="N110" s="5" t="str">
        <f>IF(Q110,6,"")</f>
        <v/>
      </c>
      <c r="Q110" s="50" t="b">
        <v>0</v>
      </c>
    </row>
    <row r="111" spans="2:17" x14ac:dyDescent="0.35">
      <c r="N111" s="5"/>
    </row>
    <row r="112" spans="2:17" ht="15" thickBot="1" x14ac:dyDescent="0.4">
      <c r="N112" s="5">
        <f>SUM(N69:N111)</f>
        <v>0</v>
      </c>
    </row>
    <row r="113" spans="1:14" ht="15" thickBot="1" x14ac:dyDescent="0.4">
      <c r="A113" s="41" t="s">
        <v>272</v>
      </c>
      <c r="E113" s="45">
        <f>J116</f>
        <v>98.3</v>
      </c>
      <c r="F113" s="41" t="s">
        <v>205</v>
      </c>
      <c r="J113" s="5">
        <f>N112*0.9</f>
        <v>0</v>
      </c>
      <c r="N113" s="5"/>
    </row>
    <row r="114" spans="1:14" x14ac:dyDescent="0.35">
      <c r="J114" s="5">
        <f>2.71828^J113</f>
        <v>1</v>
      </c>
    </row>
    <row r="115" spans="1:14" x14ac:dyDescent="0.35">
      <c r="J115" s="5">
        <f>0.983^J114</f>
        <v>0.98299999999999998</v>
      </c>
    </row>
    <row r="116" spans="1:14" x14ac:dyDescent="0.35">
      <c r="J116" s="5">
        <f>J115*100</f>
        <v>98.3</v>
      </c>
    </row>
  </sheetData>
  <sheetProtection algorithmName="SHA-512" hashValue="tkl6maUn4d0sSuoJduAQHSD9Cl3AKiKegrUWjstYG2q5sL/jV7xvBByYvxzL0I4wgz1/Fw+t9+LobQ2RvNXsKQ==" saltValue="jDK1uO4V7JXGZE5ienl+Jw==" spinCount="100000" sheet="1" objects="1" scenarios="1"/>
  <mergeCells count="13">
    <mergeCell ref="I79:M81"/>
    <mergeCell ref="A36:L38"/>
    <mergeCell ref="M36:M38"/>
    <mergeCell ref="N36:N38"/>
    <mergeCell ref="A63:N64"/>
    <mergeCell ref="B77:G78"/>
    <mergeCell ref="J74:J75"/>
    <mergeCell ref="I76:M78"/>
    <mergeCell ref="A1:N2"/>
    <mergeCell ref="A33:L35"/>
    <mergeCell ref="M33:M35"/>
    <mergeCell ref="N33:N35"/>
    <mergeCell ref="M74:M75"/>
  </mergeCells>
  <conditionalFormatting sqref="J73">
    <cfRule type="containsText" dxfId="54" priority="2" operator="containsText" text="*">
      <formula>NOT(ISERROR(SEARCH("*",J73)))</formula>
    </cfRule>
  </conditionalFormatting>
  <conditionalFormatting sqref="M73">
    <cfRule type="containsText" dxfId="53" priority="1" operator="containsText" text="*">
      <formula>NOT(ISERROR(SEARCH("*",M73)))</formula>
    </cfRule>
  </conditionalFormatting>
  <hyperlinks>
    <hyperlink ref="A1:N2" location="Main!A1" display="კლინიკური მიდგომა და საკვანძო რეკომენდაციები" xr:uid="{DA4C0698-C4FE-4726-B847-0C53BA6D81CE}"/>
    <hyperlink ref="M33:M35" location="Evidence!A1" display="I" xr:uid="{67B5E86E-267B-41DF-9646-C233B4D2AFB4}"/>
    <hyperlink ref="N33:N35" location="Evidence!A1" display="B" xr:uid="{672B2E8B-AC9E-41B8-AD6F-4EE36E32A7C0}"/>
    <hyperlink ref="M36:M38" location="Evidence!A1" display="I" xr:uid="{D29AF21B-F987-4892-B773-E8C0E05D65E3}"/>
    <hyperlink ref="N36:N38" location="Evidence!A1" display="B" xr:uid="{B27321B0-F7E4-4B17-B58C-83D40A6FD622}"/>
    <hyperlink ref="A63:N64" location="Main!A1" display="კლინიკური მიდგომა და საკვანძო რეკომენდაციები" xr:uid="{8ED9FEB7-09DC-46BA-A775-9ED3019755A9}"/>
  </hyperlinks>
  <printOptions gridLines="1"/>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323850</xdr:colOff>
                    <xdr:row>69</xdr:row>
                    <xdr:rowOff>184150</xdr:rowOff>
                  </from>
                  <to>
                    <xdr:col>3</xdr:col>
                    <xdr:colOff>527050</xdr:colOff>
                    <xdr:row>71</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323850</xdr:colOff>
                    <xdr:row>71</xdr:row>
                    <xdr:rowOff>184150</xdr:rowOff>
                  </from>
                  <to>
                    <xdr:col>4</xdr:col>
                    <xdr:colOff>336550</xdr:colOff>
                    <xdr:row>73</xdr:row>
                    <xdr:rowOff>31750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323850</xdr:colOff>
                    <xdr:row>73</xdr:row>
                    <xdr:rowOff>171450</xdr:rowOff>
                  </from>
                  <to>
                    <xdr:col>5</xdr:col>
                    <xdr:colOff>400050</xdr:colOff>
                    <xdr:row>75</xdr:row>
                    <xdr:rowOff>31750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323850</xdr:colOff>
                    <xdr:row>75</xdr:row>
                    <xdr:rowOff>184150</xdr:rowOff>
                  </from>
                  <to>
                    <xdr:col>6</xdr:col>
                    <xdr:colOff>419100</xdr:colOff>
                    <xdr:row>78</xdr:row>
                    <xdr:rowOff>31750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323850</xdr:colOff>
                    <xdr:row>78</xdr:row>
                    <xdr:rowOff>184150</xdr:rowOff>
                  </from>
                  <to>
                    <xdr:col>5</xdr:col>
                    <xdr:colOff>584200</xdr:colOff>
                    <xdr:row>80</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323850</xdr:colOff>
                    <xdr:row>81</xdr:row>
                    <xdr:rowOff>0</xdr:rowOff>
                  </from>
                  <to>
                    <xdr:col>6</xdr:col>
                    <xdr:colOff>279400</xdr:colOff>
                    <xdr:row>82</xdr:row>
                    <xdr:rowOff>50800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0</xdr:col>
                    <xdr:colOff>323850</xdr:colOff>
                    <xdr:row>83</xdr:row>
                    <xdr:rowOff>0</xdr:rowOff>
                  </from>
                  <to>
                    <xdr:col>5</xdr:col>
                    <xdr:colOff>0</xdr:colOff>
                    <xdr:row>84</xdr:row>
                    <xdr:rowOff>50800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0</xdr:col>
                    <xdr:colOff>323850</xdr:colOff>
                    <xdr:row>85</xdr:row>
                    <xdr:rowOff>0</xdr:rowOff>
                  </from>
                  <to>
                    <xdr:col>5</xdr:col>
                    <xdr:colOff>0</xdr:colOff>
                    <xdr:row>86</xdr:row>
                    <xdr:rowOff>50800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xdr:col>
                    <xdr:colOff>374650</xdr:colOff>
                    <xdr:row>88</xdr:row>
                    <xdr:rowOff>12700</xdr:rowOff>
                  </from>
                  <to>
                    <xdr:col>9</xdr:col>
                    <xdr:colOff>69850</xdr:colOff>
                    <xdr:row>89</xdr:row>
                    <xdr:rowOff>12700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374650</xdr:colOff>
                    <xdr:row>89</xdr:row>
                    <xdr:rowOff>12700</xdr:rowOff>
                  </from>
                  <to>
                    <xdr:col>9</xdr:col>
                    <xdr:colOff>69850</xdr:colOff>
                    <xdr:row>90</xdr:row>
                    <xdr:rowOff>12700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xdr:col>
                    <xdr:colOff>374650</xdr:colOff>
                    <xdr:row>90</xdr:row>
                    <xdr:rowOff>19050</xdr:rowOff>
                  </from>
                  <to>
                    <xdr:col>9</xdr:col>
                    <xdr:colOff>298450</xdr:colOff>
                    <xdr:row>91</xdr:row>
                    <xdr:rowOff>19050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xdr:col>
                    <xdr:colOff>381000</xdr:colOff>
                    <xdr:row>93</xdr:row>
                    <xdr:rowOff>0</xdr:rowOff>
                  </from>
                  <to>
                    <xdr:col>9</xdr:col>
                    <xdr:colOff>76200</xdr:colOff>
                    <xdr:row>94</xdr:row>
                    <xdr:rowOff>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xdr:col>
                    <xdr:colOff>381000</xdr:colOff>
                    <xdr:row>94</xdr:row>
                    <xdr:rowOff>0</xdr:rowOff>
                  </from>
                  <to>
                    <xdr:col>9</xdr:col>
                    <xdr:colOff>76200</xdr:colOff>
                    <xdr:row>95</xdr:row>
                    <xdr:rowOff>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xdr:col>
                    <xdr:colOff>381000</xdr:colOff>
                    <xdr:row>95</xdr:row>
                    <xdr:rowOff>12700</xdr:rowOff>
                  </from>
                  <to>
                    <xdr:col>9</xdr:col>
                    <xdr:colOff>304800</xdr:colOff>
                    <xdr:row>96</xdr:row>
                    <xdr:rowOff>12700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0</xdr:col>
                    <xdr:colOff>374650</xdr:colOff>
                    <xdr:row>96</xdr:row>
                    <xdr:rowOff>165100</xdr:rowOff>
                  </from>
                  <to>
                    <xdr:col>5</xdr:col>
                    <xdr:colOff>50800</xdr:colOff>
                    <xdr:row>98</xdr:row>
                    <xdr:rowOff>19050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0</xdr:col>
                    <xdr:colOff>374650</xdr:colOff>
                    <xdr:row>98</xdr:row>
                    <xdr:rowOff>165100</xdr:rowOff>
                  </from>
                  <to>
                    <xdr:col>7</xdr:col>
                    <xdr:colOff>190500</xdr:colOff>
                    <xdr:row>100</xdr:row>
                    <xdr:rowOff>31750</xdr:rowOff>
                  </to>
                </anchor>
              </controlPr>
            </control>
          </mc:Choice>
        </mc:AlternateContent>
        <mc:AlternateContent xmlns:mc="http://schemas.openxmlformats.org/markup-compatibility/2006">
          <mc:Choice Requires="x14">
            <control shapeId="5140" r:id="rId20" name="Check Box 20">
              <controlPr defaultSize="0" autoFill="0" autoLine="0" autoPict="0">
                <anchor moveWithCells="1">
                  <from>
                    <xdr:col>1</xdr:col>
                    <xdr:colOff>381000</xdr:colOff>
                    <xdr:row>102</xdr:row>
                    <xdr:rowOff>19050</xdr:rowOff>
                  </from>
                  <to>
                    <xdr:col>3</xdr:col>
                    <xdr:colOff>546100</xdr:colOff>
                    <xdr:row>103</xdr:row>
                    <xdr:rowOff>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1</xdr:col>
                    <xdr:colOff>381000</xdr:colOff>
                    <xdr:row>103</xdr:row>
                    <xdr:rowOff>19050</xdr:rowOff>
                  </from>
                  <to>
                    <xdr:col>3</xdr:col>
                    <xdr:colOff>419100</xdr:colOff>
                    <xdr:row>104</xdr:row>
                    <xdr:rowOff>12700</xdr:rowOff>
                  </to>
                </anchor>
              </controlPr>
            </control>
          </mc:Choice>
        </mc:AlternateContent>
        <mc:AlternateContent xmlns:mc="http://schemas.openxmlformats.org/markup-compatibility/2006">
          <mc:Choice Requires="x14">
            <control shapeId="5142" r:id="rId22" name="Check Box 22">
              <controlPr defaultSize="0" autoFill="0" autoLine="0" autoPict="0">
                <anchor moveWithCells="1">
                  <from>
                    <xdr:col>0</xdr:col>
                    <xdr:colOff>393700</xdr:colOff>
                    <xdr:row>104</xdr:row>
                    <xdr:rowOff>165100</xdr:rowOff>
                  </from>
                  <to>
                    <xdr:col>2</xdr:col>
                    <xdr:colOff>203200</xdr:colOff>
                    <xdr:row>106</xdr:row>
                    <xdr:rowOff>31750</xdr:rowOff>
                  </to>
                </anchor>
              </controlPr>
            </control>
          </mc:Choice>
        </mc:AlternateContent>
        <mc:AlternateContent xmlns:mc="http://schemas.openxmlformats.org/markup-compatibility/2006">
          <mc:Choice Requires="x14">
            <control shapeId="5143" r:id="rId23" name="Check Box 23">
              <controlPr defaultSize="0" autoFill="0" autoLine="0" autoPict="0">
                <anchor moveWithCells="1">
                  <from>
                    <xdr:col>0</xdr:col>
                    <xdr:colOff>393700</xdr:colOff>
                    <xdr:row>106</xdr:row>
                    <xdr:rowOff>184150</xdr:rowOff>
                  </from>
                  <to>
                    <xdr:col>2</xdr:col>
                    <xdr:colOff>203200</xdr:colOff>
                    <xdr:row>108</xdr:row>
                    <xdr:rowOff>50800</xdr:rowOff>
                  </to>
                </anchor>
              </controlPr>
            </control>
          </mc:Choice>
        </mc:AlternateContent>
        <mc:AlternateContent xmlns:mc="http://schemas.openxmlformats.org/markup-compatibility/2006">
          <mc:Choice Requires="x14">
            <control shapeId="5144" r:id="rId24" name="Check Box 24">
              <controlPr defaultSize="0" autoFill="0" autoLine="0" autoPict="0">
                <anchor moveWithCells="1">
                  <from>
                    <xdr:col>0</xdr:col>
                    <xdr:colOff>393700</xdr:colOff>
                    <xdr:row>108</xdr:row>
                    <xdr:rowOff>171450</xdr:rowOff>
                  </from>
                  <to>
                    <xdr:col>2</xdr:col>
                    <xdr:colOff>203200</xdr:colOff>
                    <xdr:row>110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DB7C-61CC-4ADB-B4DA-DE95642028DC}">
  <dimension ref="A1:Q65"/>
  <sheetViews>
    <sheetView workbookViewId="0">
      <selection sqref="A1:N2"/>
    </sheetView>
  </sheetViews>
  <sheetFormatPr defaultColWidth="9" defaultRowHeight="14.5" x14ac:dyDescent="0.35"/>
  <cols>
    <col min="1" max="14" width="9" style="2"/>
    <col min="15" max="15" width="9" style="49"/>
    <col min="16" max="16384" width="9" style="2"/>
  </cols>
  <sheetData>
    <row r="1" spans="1:17" x14ac:dyDescent="0.35">
      <c r="A1" s="92" t="s">
        <v>298</v>
      </c>
      <c r="B1" s="92"/>
      <c r="C1" s="92"/>
      <c r="D1" s="92"/>
      <c r="E1" s="92"/>
      <c r="F1" s="92"/>
      <c r="G1" s="92"/>
      <c r="H1" s="92"/>
      <c r="I1" s="92"/>
      <c r="J1" s="92"/>
      <c r="K1" s="92"/>
      <c r="L1" s="92"/>
      <c r="M1" s="92"/>
      <c r="N1" s="92"/>
    </row>
    <row r="2" spans="1:17" x14ac:dyDescent="0.35">
      <c r="A2" s="92"/>
      <c r="B2" s="92"/>
      <c r="C2" s="92"/>
      <c r="D2" s="92"/>
      <c r="E2" s="92"/>
      <c r="F2" s="92"/>
      <c r="G2" s="92"/>
      <c r="H2" s="92"/>
      <c r="I2" s="92"/>
      <c r="J2" s="92"/>
      <c r="K2" s="92"/>
      <c r="L2" s="92"/>
      <c r="M2" s="92"/>
      <c r="N2" s="92"/>
    </row>
    <row r="4" spans="1:17" x14ac:dyDescent="0.35">
      <c r="D4" s="4"/>
      <c r="O4" s="49" t="s">
        <v>292</v>
      </c>
    </row>
    <row r="5" spans="1:17" x14ac:dyDescent="0.35">
      <c r="D5" s="4">
        <v>1</v>
      </c>
      <c r="O5" s="49" t="s">
        <v>275</v>
      </c>
    </row>
    <row r="6" spans="1:17" x14ac:dyDescent="0.35">
      <c r="O6" s="49" t="s">
        <v>276</v>
      </c>
    </row>
    <row r="7" spans="1:17" x14ac:dyDescent="0.35">
      <c r="O7" s="49" t="s">
        <v>277</v>
      </c>
    </row>
    <row r="8" spans="1:17" x14ac:dyDescent="0.35">
      <c r="A8" s="118" t="s">
        <v>294</v>
      </c>
      <c r="B8" s="118"/>
      <c r="C8" s="118"/>
      <c r="O8" s="49" t="s">
        <v>278</v>
      </c>
      <c r="Q8" s="5" t="s">
        <v>2</v>
      </c>
    </row>
    <row r="9" spans="1:17" x14ac:dyDescent="0.35">
      <c r="Q9" s="5"/>
    </row>
    <row r="10" spans="1:17" x14ac:dyDescent="0.35">
      <c r="O10" s="49" t="s">
        <v>292</v>
      </c>
      <c r="Q10" s="5"/>
    </row>
    <row r="11" spans="1:17" x14ac:dyDescent="0.35">
      <c r="D11" s="4"/>
      <c r="I11" s="4"/>
      <c r="O11" s="49" t="s">
        <v>319</v>
      </c>
      <c r="Q11" s="5"/>
    </row>
    <row r="12" spans="1:17" x14ac:dyDescent="0.35">
      <c r="D12" s="4">
        <v>1</v>
      </c>
      <c r="F12" s="93" t="s">
        <v>303</v>
      </c>
      <c r="G12" s="93"/>
      <c r="H12" s="93"/>
      <c r="I12" s="4">
        <v>1</v>
      </c>
      <c r="O12" s="49" t="s">
        <v>279</v>
      </c>
      <c r="Q12" s="5"/>
    </row>
    <row r="13" spans="1:17" x14ac:dyDescent="0.35">
      <c r="O13" s="49" t="s">
        <v>185</v>
      </c>
      <c r="Q13" s="5" t="s">
        <v>280</v>
      </c>
    </row>
    <row r="15" spans="1:17" x14ac:dyDescent="0.35">
      <c r="A15" s="118" t="s">
        <v>295</v>
      </c>
      <c r="B15" s="118"/>
      <c r="C15" s="118"/>
      <c r="O15" s="49" t="s">
        <v>293</v>
      </c>
    </row>
    <row r="16" spans="1:17" x14ac:dyDescent="0.35">
      <c r="O16" s="49" t="s">
        <v>281</v>
      </c>
    </row>
    <row r="18" spans="1:15" ht="15" customHeight="1" x14ac:dyDescent="0.35">
      <c r="D18" s="132" t="str">
        <f>IF(AND(D5=2,D12=2,I12=2),O8,IF(AND(D5=2,D12=2,I12=3),O8,IF(AND(D5=2,D12=3,I12=4),O43,IF(AND(D5=2,D12=3,I12=5),O43,IF(AND(D5=3,D12=3,I12=5),O44,"")))))</f>
        <v/>
      </c>
      <c r="E18" s="132"/>
      <c r="F18" s="132"/>
      <c r="G18" s="132"/>
      <c r="H18" s="132"/>
      <c r="I18" s="132"/>
      <c r="J18" s="132"/>
      <c r="K18" s="128" t="str">
        <f>IF(AND(D5=2,D12=2,I12=2),"კლასი IIa",IF(AND(D5=2,D12=2,I12=3),"კლასი IIa",IF(AND(D5=2,D12=3,I12=4),"კლასი IIb",IF(AND(D5=2,D12=3,I12=5),"კლასი IIb",IF(AND(D5=3,D12=3,I12=5),"კლასი I","")))))</f>
        <v/>
      </c>
      <c r="O18" s="49" t="s">
        <v>286</v>
      </c>
    </row>
    <row r="19" spans="1:15" ht="15" customHeight="1" x14ac:dyDescent="0.35">
      <c r="D19" s="132"/>
      <c r="E19" s="132"/>
      <c r="F19" s="132"/>
      <c r="G19" s="132"/>
      <c r="H19" s="132"/>
      <c r="I19" s="132"/>
      <c r="J19" s="132"/>
      <c r="K19" s="128"/>
      <c r="O19" s="49" t="s">
        <v>282</v>
      </c>
    </row>
    <row r="20" spans="1:15" ht="15" customHeight="1" x14ac:dyDescent="0.35">
      <c r="D20" s="132"/>
      <c r="E20" s="132"/>
      <c r="F20" s="132"/>
      <c r="G20" s="132"/>
      <c r="H20" s="132"/>
      <c r="I20" s="132"/>
      <c r="J20" s="132"/>
      <c r="K20" s="128"/>
      <c r="O20" s="49" t="s">
        <v>283</v>
      </c>
    </row>
    <row r="21" spans="1:15" ht="15" customHeight="1" x14ac:dyDescent="0.35">
      <c r="D21" s="132"/>
      <c r="E21" s="132"/>
      <c r="F21" s="132"/>
      <c r="G21" s="132"/>
      <c r="H21" s="132"/>
      <c r="I21" s="132"/>
      <c r="J21" s="132"/>
      <c r="K21" s="128"/>
      <c r="O21" s="49" t="s">
        <v>284</v>
      </c>
    </row>
    <row r="22" spans="1:15" ht="15" customHeight="1" x14ac:dyDescent="0.35">
      <c r="D22" s="132"/>
      <c r="E22" s="132"/>
      <c r="F22" s="132"/>
      <c r="G22" s="132"/>
      <c r="H22" s="132"/>
      <c r="I22" s="132"/>
      <c r="J22" s="132"/>
      <c r="K22" s="128"/>
      <c r="O22" s="49" t="s">
        <v>285</v>
      </c>
    </row>
    <row r="23" spans="1:15" ht="15" customHeight="1" x14ac:dyDescent="0.35">
      <c r="D23" s="132"/>
      <c r="E23" s="132"/>
      <c r="F23" s="132"/>
      <c r="G23" s="132"/>
      <c r="H23" s="132"/>
      <c r="I23" s="132"/>
      <c r="J23" s="132"/>
      <c r="K23" s="128"/>
    </row>
    <row r="24" spans="1:15" ht="15" customHeight="1" x14ac:dyDescent="0.35">
      <c r="A24" s="131" t="s">
        <v>304</v>
      </c>
      <c r="B24" s="131"/>
      <c r="C24" s="131"/>
      <c r="D24" s="132"/>
      <c r="E24" s="132"/>
      <c r="F24" s="132"/>
      <c r="G24" s="132"/>
      <c r="H24" s="132"/>
      <c r="I24" s="132"/>
      <c r="J24" s="132"/>
      <c r="K24" s="128"/>
      <c r="O24" s="49" t="s">
        <v>287</v>
      </c>
    </row>
    <row r="25" spans="1:15" x14ac:dyDescent="0.35">
      <c r="A25" s="131"/>
      <c r="B25" s="131"/>
      <c r="C25" s="131"/>
      <c r="O25" s="49" t="s">
        <v>288</v>
      </c>
    </row>
    <row r="26" spans="1:15" x14ac:dyDescent="0.35">
      <c r="A26" s="131"/>
      <c r="B26" s="131"/>
      <c r="C26" s="131"/>
      <c r="O26" s="49" t="s">
        <v>289</v>
      </c>
    </row>
    <row r="27" spans="1:15" x14ac:dyDescent="0.35">
      <c r="A27" s="131"/>
      <c r="B27" s="131"/>
      <c r="C27" s="131"/>
      <c r="O27" s="49" t="s">
        <v>290</v>
      </c>
    </row>
    <row r="28" spans="1:15" x14ac:dyDescent="0.35">
      <c r="A28" s="131"/>
      <c r="B28" s="131"/>
      <c r="C28" s="131"/>
      <c r="O28" s="49" t="s">
        <v>291</v>
      </c>
    </row>
    <row r="32" spans="1:15" ht="15" customHeight="1" x14ac:dyDescent="0.35">
      <c r="A32" s="129" t="s">
        <v>307</v>
      </c>
      <c r="B32" s="129"/>
      <c r="C32" s="129"/>
      <c r="D32" s="129"/>
      <c r="E32" s="129"/>
      <c r="F32" s="129"/>
      <c r="G32" s="129"/>
      <c r="H32" s="129"/>
      <c r="I32" s="129"/>
      <c r="J32" s="129"/>
      <c r="K32" s="129"/>
      <c r="L32" s="129"/>
      <c r="M32" s="129"/>
      <c r="N32" s="129"/>
      <c r="O32" s="49" t="s">
        <v>292</v>
      </c>
    </row>
    <row r="33" spans="1:15" ht="15" customHeight="1" x14ac:dyDescent="0.35">
      <c r="A33" s="129"/>
      <c r="B33" s="129"/>
      <c r="C33" s="129"/>
      <c r="D33" s="129"/>
      <c r="E33" s="129"/>
      <c r="F33" s="129"/>
      <c r="G33" s="129"/>
      <c r="H33" s="129"/>
      <c r="I33" s="129"/>
      <c r="J33" s="129"/>
      <c r="K33" s="129"/>
      <c r="L33" s="129"/>
      <c r="M33" s="129"/>
      <c r="N33" s="129"/>
      <c r="O33" s="49" t="s">
        <v>293</v>
      </c>
    </row>
    <row r="34" spans="1:15" x14ac:dyDescent="0.35">
      <c r="A34" s="129"/>
      <c r="B34" s="129"/>
      <c r="C34" s="129"/>
      <c r="D34" s="129"/>
      <c r="E34" s="129"/>
      <c r="F34" s="129"/>
      <c r="G34" s="129"/>
      <c r="H34" s="129"/>
      <c r="I34" s="129"/>
      <c r="J34" s="129"/>
      <c r="K34" s="129"/>
      <c r="L34" s="129"/>
      <c r="M34" s="129"/>
      <c r="N34" s="129"/>
    </row>
    <row r="35" spans="1:15" x14ac:dyDescent="0.35">
      <c r="O35" s="49" t="s">
        <v>296</v>
      </c>
    </row>
    <row r="36" spans="1:15" x14ac:dyDescent="0.35">
      <c r="D36" s="130" t="s">
        <v>308</v>
      </c>
      <c r="E36" s="130"/>
      <c r="F36" s="130"/>
      <c r="G36" s="130"/>
      <c r="H36" s="130"/>
      <c r="I36" s="130"/>
      <c r="J36" s="130"/>
      <c r="O36" s="49" t="s">
        <v>297</v>
      </c>
    </row>
    <row r="37" spans="1:15" x14ac:dyDescent="0.35">
      <c r="D37" s="130"/>
      <c r="E37" s="130"/>
      <c r="F37" s="130"/>
      <c r="G37" s="130"/>
      <c r="H37" s="130"/>
      <c r="I37" s="130"/>
      <c r="J37" s="130"/>
    </row>
    <row r="38" spans="1:15" x14ac:dyDescent="0.35">
      <c r="C38" s="118" t="s">
        <v>309</v>
      </c>
      <c r="D38" s="118"/>
      <c r="E38" s="118"/>
      <c r="F38" s="118"/>
      <c r="G38" s="118"/>
      <c r="H38" s="118"/>
      <c r="I38" s="118"/>
      <c r="J38" s="118"/>
      <c r="K38" s="118"/>
      <c r="O38" s="49" t="s">
        <v>299</v>
      </c>
    </row>
    <row r="39" spans="1:15" ht="15" thickBot="1" x14ac:dyDescent="0.4">
      <c r="O39" s="49" t="s">
        <v>300</v>
      </c>
    </row>
    <row r="40" spans="1:15" x14ac:dyDescent="0.35">
      <c r="C40" s="133" t="s">
        <v>310</v>
      </c>
      <c r="D40" s="134"/>
      <c r="E40" s="134"/>
      <c r="F40" s="135"/>
      <c r="H40" s="133" t="s">
        <v>600</v>
      </c>
      <c r="I40" s="134"/>
      <c r="J40" s="134"/>
      <c r="K40" s="135"/>
      <c r="O40" s="49" t="s">
        <v>301</v>
      </c>
    </row>
    <row r="41" spans="1:15" x14ac:dyDescent="0.35">
      <c r="C41" s="136"/>
      <c r="D41" s="137"/>
      <c r="E41" s="137"/>
      <c r="F41" s="138"/>
      <c r="H41" s="136"/>
      <c r="I41" s="137"/>
      <c r="J41" s="137"/>
      <c r="K41" s="138"/>
      <c r="O41" s="49" t="s">
        <v>302</v>
      </c>
    </row>
    <row r="42" spans="1:15" ht="15" thickBot="1" x14ac:dyDescent="0.4">
      <c r="C42" s="139"/>
      <c r="D42" s="140"/>
      <c r="E42" s="140"/>
      <c r="F42" s="141"/>
      <c r="H42" s="139"/>
      <c r="I42" s="140"/>
      <c r="J42" s="140"/>
      <c r="K42" s="141"/>
    </row>
    <row r="43" spans="1:15" x14ac:dyDescent="0.35">
      <c r="C43" s="142" t="s">
        <v>311</v>
      </c>
      <c r="D43" s="142"/>
      <c r="E43" s="142"/>
      <c r="F43" s="142"/>
      <c r="H43" s="142" t="s">
        <v>312</v>
      </c>
      <c r="I43" s="142"/>
      <c r="J43" s="142"/>
      <c r="K43" s="142"/>
      <c r="O43" s="49" t="s">
        <v>305</v>
      </c>
    </row>
    <row r="44" spans="1:15" x14ac:dyDescent="0.35">
      <c r="C44" s="95"/>
      <c r="D44" s="95"/>
      <c r="E44" s="95"/>
      <c r="F44" s="95"/>
      <c r="H44" s="95"/>
      <c r="I44" s="95"/>
      <c r="J44" s="95"/>
      <c r="K44" s="95"/>
      <c r="O44" s="49" t="s">
        <v>306</v>
      </c>
    </row>
    <row r="46" spans="1:15" x14ac:dyDescent="0.35">
      <c r="C46" s="143" t="s">
        <v>313</v>
      </c>
      <c r="D46" s="143"/>
      <c r="E46" s="143"/>
      <c r="F46" s="143"/>
      <c r="G46" s="143"/>
      <c r="H46" s="143"/>
      <c r="I46" s="143"/>
      <c r="J46" s="143"/>
      <c r="K46" s="143"/>
    </row>
    <row r="47" spans="1:15" x14ac:dyDescent="0.35">
      <c r="G47" s="144" t="s">
        <v>273</v>
      </c>
    </row>
    <row r="48" spans="1:15" x14ac:dyDescent="0.35">
      <c r="G48" s="93"/>
    </row>
    <row r="49" spans="1:14" x14ac:dyDescent="0.35">
      <c r="C49" s="93" t="s">
        <v>316</v>
      </c>
      <c r="D49" s="93"/>
      <c r="E49" s="93"/>
      <c r="F49" s="93"/>
      <c r="G49" s="93"/>
      <c r="H49" s="93"/>
      <c r="I49" s="93"/>
      <c r="J49" s="93"/>
      <c r="K49" s="93"/>
    </row>
    <row r="50" spans="1:14" ht="15" thickBot="1" x14ac:dyDescent="0.4"/>
    <row r="51" spans="1:14" x14ac:dyDescent="0.35">
      <c r="F51" s="145" t="s">
        <v>278</v>
      </c>
      <c r="G51" s="146"/>
      <c r="H51" s="147"/>
    </row>
    <row r="52" spans="1:14" x14ac:dyDescent="0.35">
      <c r="F52" s="148"/>
      <c r="G52" s="149"/>
      <c r="H52" s="150"/>
    </row>
    <row r="53" spans="1:14" ht="15" thickBot="1" x14ac:dyDescent="0.4">
      <c r="F53" s="151"/>
      <c r="G53" s="152"/>
      <c r="H53" s="153"/>
    </row>
    <row r="54" spans="1:14" ht="15" thickBot="1" x14ac:dyDescent="0.4"/>
    <row r="55" spans="1:14" x14ac:dyDescent="0.35">
      <c r="F55" s="154" t="s">
        <v>314</v>
      </c>
      <c r="G55" s="155"/>
      <c r="H55" s="156"/>
    </row>
    <row r="56" spans="1:14" x14ac:dyDescent="0.35">
      <c r="F56" s="157"/>
      <c r="G56" s="158"/>
      <c r="H56" s="159"/>
      <c r="I56" s="93" t="s">
        <v>315</v>
      </c>
      <c r="J56" s="93"/>
      <c r="K56" s="93"/>
      <c r="L56" s="93"/>
      <c r="M56" s="93"/>
    </row>
    <row r="57" spans="1:14" ht="15" thickBot="1" x14ac:dyDescent="0.4">
      <c r="F57" s="160"/>
      <c r="G57" s="161"/>
      <c r="H57" s="162"/>
    </row>
    <row r="59" spans="1:14" ht="15" customHeight="1" x14ac:dyDescent="0.35">
      <c r="A59" s="125" t="s">
        <v>317</v>
      </c>
      <c r="B59" s="125"/>
      <c r="C59" s="125"/>
      <c r="D59" s="125"/>
      <c r="E59" s="125"/>
      <c r="F59" s="125"/>
      <c r="G59" s="125"/>
      <c r="H59" s="125"/>
      <c r="I59" s="125"/>
      <c r="J59" s="125"/>
      <c r="K59" s="125"/>
      <c r="L59" s="125"/>
      <c r="M59" s="125"/>
      <c r="N59" s="125"/>
    </row>
    <row r="60" spans="1:14" x14ac:dyDescent="0.35">
      <c r="A60" s="125"/>
      <c r="B60" s="125"/>
      <c r="C60" s="125"/>
      <c r="D60" s="125"/>
      <c r="E60" s="125"/>
      <c r="F60" s="125"/>
      <c r="G60" s="125"/>
      <c r="H60" s="125"/>
      <c r="I60" s="125"/>
      <c r="J60" s="125"/>
      <c r="K60" s="125"/>
      <c r="L60" s="125"/>
      <c r="M60" s="125"/>
      <c r="N60" s="125"/>
    </row>
    <row r="61" spans="1:14" x14ac:dyDescent="0.35">
      <c r="A61" s="125"/>
      <c r="B61" s="125"/>
      <c r="C61" s="125"/>
      <c r="D61" s="125"/>
      <c r="E61" s="125"/>
      <c r="F61" s="125"/>
      <c r="G61" s="125"/>
      <c r="H61" s="125"/>
      <c r="I61" s="125"/>
      <c r="J61" s="125"/>
      <c r="K61" s="125"/>
      <c r="L61" s="125"/>
      <c r="M61" s="125"/>
      <c r="N61" s="125"/>
    </row>
    <row r="62" spans="1:14" x14ac:dyDescent="0.35">
      <c r="A62" s="125"/>
      <c r="B62" s="125"/>
      <c r="C62" s="125"/>
      <c r="D62" s="125"/>
      <c r="E62" s="125"/>
      <c r="F62" s="125"/>
      <c r="G62" s="125"/>
      <c r="H62" s="125"/>
      <c r="I62" s="125"/>
      <c r="J62" s="125"/>
      <c r="K62" s="125"/>
      <c r="L62" s="125"/>
      <c r="M62" s="125"/>
      <c r="N62" s="125"/>
    </row>
    <row r="64" spans="1:14" x14ac:dyDescent="0.35">
      <c r="A64" s="125" t="s">
        <v>318</v>
      </c>
      <c r="B64" s="125"/>
      <c r="C64" s="125"/>
      <c r="D64" s="125"/>
      <c r="E64" s="125"/>
      <c r="F64" s="125"/>
      <c r="G64" s="125"/>
      <c r="H64" s="125"/>
      <c r="I64" s="125"/>
      <c r="J64" s="125"/>
      <c r="K64" s="125"/>
      <c r="L64" s="125"/>
      <c r="M64" s="125"/>
      <c r="N64" s="125"/>
    </row>
    <row r="65" spans="1:14" x14ac:dyDescent="0.35">
      <c r="A65" s="125"/>
      <c r="B65" s="125"/>
      <c r="C65" s="125"/>
      <c r="D65" s="125"/>
      <c r="E65" s="125"/>
      <c r="F65" s="125"/>
      <c r="G65" s="125"/>
      <c r="H65" s="125"/>
      <c r="I65" s="125"/>
      <c r="J65" s="125"/>
      <c r="K65" s="125"/>
      <c r="L65" s="125"/>
      <c r="M65" s="125"/>
      <c r="N65" s="125"/>
    </row>
  </sheetData>
  <sheetProtection algorithmName="SHA-512" hashValue="ihSePtQo5ctTnbD8dYn3tBfWZqVqHuZuWVdjAs2MiWYsedP4GO8V2Xzk22IuC25A3WcKVxhVjZjJDJQf9khSWg==" saltValue="waBaKRMl4e6NQa2dHkSkvg==" spinCount="100000" sheet="1" objects="1" scenarios="1"/>
  <mergeCells count="22">
    <mergeCell ref="I56:M56"/>
    <mergeCell ref="A59:N62"/>
    <mergeCell ref="A64:N65"/>
    <mergeCell ref="C46:K46"/>
    <mergeCell ref="G47:G48"/>
    <mergeCell ref="C49:K49"/>
    <mergeCell ref="F51:H53"/>
    <mergeCell ref="F55:H57"/>
    <mergeCell ref="C38:K38"/>
    <mergeCell ref="C40:F42"/>
    <mergeCell ref="H40:K42"/>
    <mergeCell ref="C43:F44"/>
    <mergeCell ref="H43:K44"/>
    <mergeCell ref="K18:K24"/>
    <mergeCell ref="F12:H12"/>
    <mergeCell ref="A32:N34"/>
    <mergeCell ref="D36:J37"/>
    <mergeCell ref="A1:N2"/>
    <mergeCell ref="A8:C8"/>
    <mergeCell ref="A15:C15"/>
    <mergeCell ref="A24:C28"/>
    <mergeCell ref="D18:J24"/>
  </mergeCells>
  <conditionalFormatting sqref="D18:J24">
    <cfRule type="notContainsBlanks" dxfId="52" priority="5">
      <formula>LEN(TRIM(D18))&gt;0</formula>
    </cfRule>
  </conditionalFormatting>
  <conditionalFormatting sqref="K18:K24">
    <cfRule type="containsText" dxfId="51" priority="1" operator="containsText" text="b">
      <formula>NOT(ISERROR(SEARCH("b",K18)))</formula>
    </cfRule>
    <cfRule type="containsText" dxfId="50" priority="2" operator="containsText" text="a">
      <formula>NOT(ISERROR(SEARCH("a",K18)))</formula>
    </cfRule>
    <cfRule type="containsText" dxfId="49" priority="3" stopIfTrue="1" operator="containsText" text="კლასი I">
      <formula>NOT(ISERROR(SEARCH("კლასი I",K18)))</formula>
    </cfRule>
  </conditionalFormatting>
  <hyperlinks>
    <hyperlink ref="A1:N2" location="Main!A1" display="კლინიკური მიდგომა და საკვანძო რეკომენდაციები" xr:uid="{56993822-CECC-42EA-89D8-BF3E53EEC107}"/>
    <hyperlink ref="K18:K23" location="Evidence!A1" display="Evidence!A1" xr:uid="{AF27322F-21FA-4BAD-A768-AE20C1536415}"/>
  </hyperlinks>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127000</xdr:colOff>
                    <xdr:row>4</xdr:row>
                    <xdr:rowOff>0</xdr:rowOff>
                  </from>
                  <to>
                    <xdr:col>12</xdr:col>
                    <xdr:colOff>527050</xdr:colOff>
                    <xdr:row>5</xdr:row>
                    <xdr:rowOff>0</xdr:rowOff>
                  </to>
                </anchor>
              </controlPr>
            </control>
          </mc:Choice>
        </mc:AlternateContent>
        <mc:AlternateContent xmlns:mc="http://schemas.openxmlformats.org/markup-compatibility/2006">
          <mc:Choice Requires="x14">
            <control shapeId="9218" r:id="rId5" name="Drop Down 2">
              <controlPr defaultSize="0" autoLine="0" autoPict="0">
                <anchor moveWithCells="1">
                  <from>
                    <xdr:col>2</xdr:col>
                    <xdr:colOff>146050</xdr:colOff>
                    <xdr:row>11</xdr:row>
                    <xdr:rowOff>0</xdr:rowOff>
                  </from>
                  <to>
                    <xdr:col>4</xdr:col>
                    <xdr:colOff>69850</xdr:colOff>
                    <xdr:row>12</xdr:row>
                    <xdr:rowOff>0</xdr:rowOff>
                  </to>
                </anchor>
              </controlPr>
            </control>
          </mc:Choice>
        </mc:AlternateContent>
        <mc:AlternateContent xmlns:mc="http://schemas.openxmlformats.org/markup-compatibility/2006">
          <mc:Choice Requires="x14">
            <control shapeId="9219" r:id="rId6" name="Drop Down 3">
              <controlPr defaultSize="0" autoLine="0" autoPict="0">
                <anchor moveWithCells="1">
                  <from>
                    <xdr:col>7</xdr:col>
                    <xdr:colOff>666750</xdr:colOff>
                    <xdr:row>11</xdr:row>
                    <xdr:rowOff>0</xdr:rowOff>
                  </from>
                  <to>
                    <xdr:col>9</xdr:col>
                    <xdr:colOff>590550</xdr:colOff>
                    <xdr:row>12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D9B3-CF85-4BA8-8AED-ABD3C85DD069}">
  <dimension ref="A1:N26"/>
  <sheetViews>
    <sheetView workbookViewId="0">
      <selection sqref="A1:N2"/>
    </sheetView>
  </sheetViews>
  <sheetFormatPr defaultColWidth="9" defaultRowHeight="14.5" x14ac:dyDescent="0.35"/>
  <cols>
    <col min="1" max="16384" width="9" style="1"/>
  </cols>
  <sheetData>
    <row r="1" spans="1:14" x14ac:dyDescent="0.35">
      <c r="A1" s="92" t="s">
        <v>320</v>
      </c>
      <c r="B1" s="92"/>
      <c r="C1" s="92"/>
      <c r="D1" s="92"/>
      <c r="E1" s="92"/>
      <c r="F1" s="92"/>
      <c r="G1" s="92"/>
      <c r="H1" s="92"/>
      <c r="I1" s="92"/>
      <c r="J1" s="92"/>
      <c r="K1" s="92"/>
      <c r="L1" s="92"/>
      <c r="M1" s="92"/>
      <c r="N1" s="92"/>
    </row>
    <row r="2" spans="1:14" x14ac:dyDescent="0.35">
      <c r="A2" s="92"/>
      <c r="B2" s="92"/>
      <c r="C2" s="92"/>
      <c r="D2" s="92"/>
      <c r="E2" s="92"/>
      <c r="F2" s="92"/>
      <c r="G2" s="92"/>
      <c r="H2" s="92"/>
      <c r="I2" s="92"/>
      <c r="J2" s="92"/>
      <c r="K2" s="92"/>
      <c r="L2" s="92"/>
      <c r="M2" s="92"/>
      <c r="N2" s="92"/>
    </row>
    <row r="4" spans="1:14" ht="15" customHeight="1" x14ac:dyDescent="0.35">
      <c r="B4" s="9"/>
      <c r="C4" s="106" t="s">
        <v>321</v>
      </c>
      <c r="D4" s="107"/>
      <c r="E4" s="107"/>
      <c r="F4" s="107"/>
      <c r="G4" s="107"/>
      <c r="H4" s="107"/>
      <c r="I4" s="107"/>
      <c r="J4" s="107"/>
      <c r="K4" s="107"/>
      <c r="L4" s="108"/>
      <c r="M4" s="102" t="s">
        <v>66</v>
      </c>
      <c r="N4" s="103" t="s">
        <v>207</v>
      </c>
    </row>
    <row r="5" spans="1:14" x14ac:dyDescent="0.35">
      <c r="A5" s="9"/>
      <c r="B5" s="9"/>
      <c r="C5" s="109"/>
      <c r="D5" s="110"/>
      <c r="E5" s="110"/>
      <c r="F5" s="110"/>
      <c r="G5" s="110"/>
      <c r="H5" s="110"/>
      <c r="I5" s="110"/>
      <c r="J5" s="110"/>
      <c r="K5" s="110"/>
      <c r="L5" s="111"/>
      <c r="M5" s="102"/>
      <c r="N5" s="103"/>
    </row>
    <row r="6" spans="1:14" x14ac:dyDescent="0.35">
      <c r="A6" s="9"/>
      <c r="B6" s="9"/>
      <c r="C6" s="112"/>
      <c r="D6" s="113"/>
      <c r="E6" s="113"/>
      <c r="F6" s="113"/>
      <c r="G6" s="113"/>
      <c r="H6" s="113"/>
      <c r="I6" s="113"/>
      <c r="J6" s="113"/>
      <c r="K6" s="113"/>
      <c r="L6" s="114"/>
      <c r="M6" s="102"/>
      <c r="N6" s="103"/>
    </row>
    <row r="7" spans="1:14" ht="15" customHeight="1" x14ac:dyDescent="0.35">
      <c r="C7" s="99" t="s">
        <v>322</v>
      </c>
      <c r="D7" s="99"/>
      <c r="E7" s="99"/>
      <c r="F7" s="99"/>
      <c r="G7" s="99"/>
      <c r="H7" s="99"/>
      <c r="I7" s="99"/>
      <c r="J7" s="99"/>
      <c r="K7" s="99"/>
      <c r="L7" s="99"/>
      <c r="M7" s="102" t="s">
        <v>66</v>
      </c>
      <c r="N7" s="103" t="s">
        <v>207</v>
      </c>
    </row>
    <row r="8" spans="1:14" x14ac:dyDescent="0.35">
      <c r="C8" s="99"/>
      <c r="D8" s="99"/>
      <c r="E8" s="99"/>
      <c r="F8" s="99"/>
      <c r="G8" s="99"/>
      <c r="H8" s="99"/>
      <c r="I8" s="99"/>
      <c r="J8" s="99"/>
      <c r="K8" s="99"/>
      <c r="L8" s="99"/>
      <c r="M8" s="102"/>
      <c r="N8" s="103"/>
    </row>
    <row r="9" spans="1:14" x14ac:dyDescent="0.35">
      <c r="C9" s="99"/>
      <c r="D9" s="99"/>
      <c r="E9" s="99"/>
      <c r="F9" s="99"/>
      <c r="G9" s="99"/>
      <c r="H9" s="99"/>
      <c r="I9" s="99"/>
      <c r="J9" s="99"/>
      <c r="K9" s="99"/>
      <c r="L9" s="99"/>
      <c r="M9" s="102"/>
      <c r="N9" s="103"/>
    </row>
    <row r="10" spans="1:14" x14ac:dyDescent="0.35">
      <c r="C10" s="99"/>
      <c r="D10" s="99"/>
      <c r="E10" s="99"/>
      <c r="F10" s="99"/>
      <c r="G10" s="99"/>
      <c r="H10" s="99"/>
      <c r="I10" s="99"/>
      <c r="J10" s="99"/>
      <c r="K10" s="99"/>
      <c r="L10" s="99"/>
      <c r="M10" s="102"/>
      <c r="N10" s="103"/>
    </row>
    <row r="11" spans="1:14" x14ac:dyDescent="0.35">
      <c r="A11" s="106" t="s">
        <v>323</v>
      </c>
      <c r="B11" s="107"/>
      <c r="C11" s="107"/>
      <c r="D11" s="107"/>
      <c r="E11" s="107"/>
      <c r="F11" s="107"/>
      <c r="G11" s="107"/>
      <c r="H11" s="107"/>
      <c r="I11" s="107"/>
      <c r="J11" s="107"/>
      <c r="K11" s="107"/>
      <c r="L11" s="108"/>
      <c r="M11" s="105" t="s">
        <v>209</v>
      </c>
      <c r="N11" s="101" t="s">
        <v>67</v>
      </c>
    </row>
    <row r="12" spans="1:14" x14ac:dyDescent="0.35">
      <c r="A12" s="109"/>
      <c r="B12" s="110"/>
      <c r="C12" s="110"/>
      <c r="D12" s="110"/>
      <c r="E12" s="110"/>
      <c r="F12" s="110"/>
      <c r="G12" s="110"/>
      <c r="H12" s="110"/>
      <c r="I12" s="110"/>
      <c r="J12" s="110"/>
      <c r="K12" s="110"/>
      <c r="L12" s="111"/>
      <c r="M12" s="105"/>
      <c r="N12" s="101"/>
    </row>
    <row r="13" spans="1:14" x14ac:dyDescent="0.35">
      <c r="A13" s="112"/>
      <c r="B13" s="113"/>
      <c r="C13" s="113"/>
      <c r="D13" s="113"/>
      <c r="E13" s="113"/>
      <c r="F13" s="113"/>
      <c r="G13" s="113"/>
      <c r="H13" s="113"/>
      <c r="I13" s="113"/>
      <c r="J13" s="113"/>
      <c r="K13" s="113"/>
      <c r="L13" s="114"/>
      <c r="M13" s="105"/>
      <c r="N13" s="101"/>
    </row>
    <row r="15" spans="1:14" x14ac:dyDescent="0.35">
      <c r="C15" s="106" t="s">
        <v>324</v>
      </c>
      <c r="D15" s="107"/>
      <c r="E15" s="107"/>
      <c r="F15" s="107"/>
      <c r="G15" s="107"/>
      <c r="H15" s="107"/>
      <c r="I15" s="107"/>
      <c r="J15" s="107"/>
      <c r="K15" s="107"/>
      <c r="L15" s="108"/>
      <c r="M15" s="102" t="s">
        <v>66</v>
      </c>
      <c r="N15" s="103" t="s">
        <v>207</v>
      </c>
    </row>
    <row r="16" spans="1:14" x14ac:dyDescent="0.35">
      <c r="C16" s="109"/>
      <c r="D16" s="110"/>
      <c r="E16" s="110"/>
      <c r="F16" s="110"/>
      <c r="G16" s="110"/>
      <c r="H16" s="110"/>
      <c r="I16" s="110"/>
      <c r="J16" s="110"/>
      <c r="K16" s="110"/>
      <c r="L16" s="111"/>
      <c r="M16" s="102"/>
      <c r="N16" s="103"/>
    </row>
    <row r="17" spans="1:14" x14ac:dyDescent="0.35">
      <c r="C17" s="112"/>
      <c r="D17" s="113"/>
      <c r="E17" s="113"/>
      <c r="F17" s="113"/>
      <c r="G17" s="113"/>
      <c r="H17" s="113"/>
      <c r="I17" s="113"/>
      <c r="J17" s="113"/>
      <c r="K17" s="113"/>
      <c r="L17" s="114"/>
      <c r="M17" s="102"/>
      <c r="N17" s="103"/>
    </row>
    <row r="18" spans="1:14" x14ac:dyDescent="0.35">
      <c r="C18" s="106" t="s">
        <v>325</v>
      </c>
      <c r="D18" s="107"/>
      <c r="E18" s="107"/>
      <c r="F18" s="107"/>
      <c r="G18" s="107"/>
      <c r="H18" s="107"/>
      <c r="I18" s="107"/>
      <c r="J18" s="107"/>
      <c r="K18" s="107"/>
      <c r="L18" s="108"/>
      <c r="M18" s="102" t="s">
        <v>66</v>
      </c>
      <c r="N18" s="103" t="s">
        <v>207</v>
      </c>
    </row>
    <row r="19" spans="1:14" x14ac:dyDescent="0.35">
      <c r="C19" s="109"/>
      <c r="D19" s="110"/>
      <c r="E19" s="110"/>
      <c r="F19" s="110"/>
      <c r="G19" s="110"/>
      <c r="H19" s="110"/>
      <c r="I19" s="110"/>
      <c r="J19" s="110"/>
      <c r="K19" s="110"/>
      <c r="L19" s="111"/>
      <c r="M19" s="102"/>
      <c r="N19" s="103"/>
    </row>
    <row r="20" spans="1:14" x14ac:dyDescent="0.35">
      <c r="C20" s="112"/>
      <c r="D20" s="113"/>
      <c r="E20" s="113"/>
      <c r="F20" s="113"/>
      <c r="G20" s="113"/>
      <c r="H20" s="113"/>
      <c r="I20" s="113"/>
      <c r="J20" s="113"/>
      <c r="K20" s="113"/>
      <c r="L20" s="114"/>
      <c r="M20" s="102"/>
      <c r="N20" s="103"/>
    </row>
    <row r="21" spans="1:14" x14ac:dyDescent="0.35">
      <c r="A21" s="106" t="s">
        <v>327</v>
      </c>
      <c r="B21" s="107"/>
      <c r="C21" s="107"/>
      <c r="D21" s="107"/>
      <c r="E21" s="107"/>
      <c r="F21" s="107"/>
      <c r="G21" s="107"/>
      <c r="H21" s="107"/>
      <c r="I21" s="107"/>
      <c r="J21" s="107"/>
      <c r="K21" s="107"/>
      <c r="L21" s="108"/>
      <c r="M21" s="100" t="s">
        <v>208</v>
      </c>
      <c r="N21" s="101" t="s">
        <v>67</v>
      </c>
    </row>
    <row r="22" spans="1:14" x14ac:dyDescent="0.35">
      <c r="A22" s="109"/>
      <c r="B22" s="110"/>
      <c r="C22" s="110"/>
      <c r="D22" s="110"/>
      <c r="E22" s="110"/>
      <c r="F22" s="110"/>
      <c r="G22" s="110"/>
      <c r="H22" s="110"/>
      <c r="I22" s="110"/>
      <c r="J22" s="110"/>
      <c r="K22" s="110"/>
      <c r="L22" s="111"/>
      <c r="M22" s="100"/>
      <c r="N22" s="101"/>
    </row>
    <row r="23" spans="1:14" x14ac:dyDescent="0.35">
      <c r="A23" s="112"/>
      <c r="B23" s="113"/>
      <c r="C23" s="113"/>
      <c r="D23" s="113"/>
      <c r="E23" s="113"/>
      <c r="F23" s="113"/>
      <c r="G23" s="113"/>
      <c r="H23" s="113"/>
      <c r="I23" s="113"/>
      <c r="J23" s="113"/>
      <c r="K23" s="113"/>
      <c r="L23" s="114"/>
      <c r="M23" s="100"/>
      <c r="N23" s="101"/>
    </row>
    <row r="24" spans="1:14" x14ac:dyDescent="0.35">
      <c r="A24" s="106" t="s">
        <v>326</v>
      </c>
      <c r="B24" s="107"/>
      <c r="C24" s="107"/>
      <c r="D24" s="107"/>
      <c r="E24" s="107"/>
      <c r="F24" s="107"/>
      <c r="G24" s="107"/>
      <c r="H24" s="107"/>
      <c r="I24" s="107"/>
      <c r="J24" s="107"/>
      <c r="K24" s="107"/>
      <c r="L24" s="108"/>
      <c r="M24" s="100" t="s">
        <v>208</v>
      </c>
      <c r="N24" s="101" t="s">
        <v>67</v>
      </c>
    </row>
    <row r="25" spans="1:14" x14ac:dyDescent="0.35">
      <c r="A25" s="109"/>
      <c r="B25" s="110"/>
      <c r="C25" s="110"/>
      <c r="D25" s="110"/>
      <c r="E25" s="110"/>
      <c r="F25" s="110"/>
      <c r="G25" s="110"/>
      <c r="H25" s="110"/>
      <c r="I25" s="110"/>
      <c r="J25" s="110"/>
      <c r="K25" s="110"/>
      <c r="L25" s="111"/>
      <c r="M25" s="100"/>
      <c r="N25" s="101"/>
    </row>
    <row r="26" spans="1:14" x14ac:dyDescent="0.35">
      <c r="A26" s="112"/>
      <c r="B26" s="113"/>
      <c r="C26" s="113"/>
      <c r="D26" s="113"/>
      <c r="E26" s="113"/>
      <c r="F26" s="113"/>
      <c r="G26" s="113"/>
      <c r="H26" s="113"/>
      <c r="I26" s="113"/>
      <c r="J26" s="113"/>
      <c r="K26" s="113"/>
      <c r="L26" s="114"/>
      <c r="M26" s="100"/>
      <c r="N26" s="101"/>
    </row>
  </sheetData>
  <sheetProtection algorithmName="SHA-512" hashValue="QgEl4bR2yT9ggfACDIbNg3vIX9Q+grn/oRdbAjpnn2/XlIReE1ABcMjTAd1/1D1PZDa8Bz4B2X5le+RJjSvzLw==" saltValue="KtmhdJ6JzAQPhPnnpy35Pg==" spinCount="100000" sheet="1" objects="1" scenarios="1"/>
  <mergeCells count="22">
    <mergeCell ref="A1:N2"/>
    <mergeCell ref="M4:M6"/>
    <mergeCell ref="N4:N6"/>
    <mergeCell ref="C4:L6"/>
    <mergeCell ref="C7:L10"/>
    <mergeCell ref="M7:M10"/>
    <mergeCell ref="N7:N10"/>
    <mergeCell ref="A11:L13"/>
    <mergeCell ref="M11:M13"/>
    <mergeCell ref="N11:N13"/>
    <mergeCell ref="C15:L17"/>
    <mergeCell ref="M15:M17"/>
    <mergeCell ref="N15:N17"/>
    <mergeCell ref="A24:L26"/>
    <mergeCell ref="M24:M26"/>
    <mergeCell ref="N24:N26"/>
    <mergeCell ref="C18:L20"/>
    <mergeCell ref="M18:M20"/>
    <mergeCell ref="N18:N20"/>
    <mergeCell ref="A21:L23"/>
    <mergeCell ref="M21:M23"/>
    <mergeCell ref="N21:N23"/>
  </mergeCells>
  <hyperlinks>
    <hyperlink ref="A1:N2" location="Main!A1" display="კლინიკური მიდგომა და საკვანძო რეკომენდაციები" xr:uid="{EBF763B5-3BBD-452D-ABDE-EE2540AB8808}"/>
    <hyperlink ref="M4:M6" location="Evidence!A1" display="I" xr:uid="{221AE74B-5939-4673-B09D-9DCA92A73A03}"/>
    <hyperlink ref="N4:N6" location="Evidence!A1" display="B" xr:uid="{B79C98A5-996C-43B1-A541-5DC8A2B42BF1}"/>
    <hyperlink ref="M7:M9" location="Evidence!A1" display="I" xr:uid="{847B834C-82DC-4AA8-8334-FAB6203E3358}"/>
    <hyperlink ref="N7:N9" location="Evidence!A1" display="B" xr:uid="{3994BFCC-765F-47A1-978C-34CC0B292D57}"/>
    <hyperlink ref="M11:M13" location="Evidence!A1" display="I" xr:uid="{DC9FEB81-560B-473E-A866-6A19E1E92CCA}"/>
    <hyperlink ref="N11:N13" location="Evidence!A1" display="B" xr:uid="{08478556-075D-4911-935A-E260EC96FAED}"/>
    <hyperlink ref="M15:M17" location="Evidence!A1" display="I" xr:uid="{75791C1A-4F23-4062-9FBE-CCD993CE1511}"/>
    <hyperlink ref="N15:N17" location="Evidence!A1" display="B" xr:uid="{7114E978-0523-4433-B1BD-0CBD858908A6}"/>
    <hyperlink ref="M18:M20" location="Evidence!A1" display="I" xr:uid="{978B529D-643B-4416-80C7-C200A56941C4}"/>
    <hyperlink ref="N18:N20" location="Evidence!A1" display="B" xr:uid="{781F77D0-36CE-45F6-B43F-83D6F3A32E09}"/>
    <hyperlink ref="M21:M23" location="Evidence!A1" display="I" xr:uid="{E3B9717E-9763-46A5-BED8-7467F2B748CF}"/>
    <hyperlink ref="N21:N23" location="Evidence!A1" display="B" xr:uid="{6EB21000-9773-40D6-B2A9-F69062CBE054}"/>
    <hyperlink ref="M24:M26" location="Evidence!A1" display="I" xr:uid="{DE524F98-818A-4F06-B883-D0C9EC1BBC3E}"/>
    <hyperlink ref="N24:N26" location="Evidence!A1" display="B" xr:uid="{905B3031-06B9-4E7E-9120-6740086E54FC}"/>
  </hyperlinks>
  <pageMargins left="0.7" right="0.7" top="0.75" bottom="0.75" header="0.3" footer="0.3"/>
  <pageSetup paperSize="9"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65DBA-FB2F-4FE5-BC35-35FC9373AAF4}">
  <dimension ref="A1:R27"/>
  <sheetViews>
    <sheetView workbookViewId="0">
      <selection sqref="A1:N2"/>
    </sheetView>
  </sheetViews>
  <sheetFormatPr defaultColWidth="9" defaultRowHeight="14.5" x14ac:dyDescent="0.35"/>
  <cols>
    <col min="1" max="14" width="9" style="2"/>
    <col min="15" max="18" width="9" style="5"/>
    <col min="19" max="16384" width="9" style="2"/>
  </cols>
  <sheetData>
    <row r="1" spans="1:18" x14ac:dyDescent="0.35">
      <c r="A1" s="92" t="s">
        <v>328</v>
      </c>
      <c r="B1" s="92"/>
      <c r="C1" s="92"/>
      <c r="D1" s="92"/>
      <c r="E1" s="92"/>
      <c r="F1" s="92"/>
      <c r="G1" s="92"/>
      <c r="H1" s="92"/>
      <c r="I1" s="92"/>
      <c r="J1" s="92"/>
      <c r="K1" s="92"/>
      <c r="L1" s="92"/>
      <c r="M1" s="92"/>
      <c r="N1" s="92"/>
    </row>
    <row r="2" spans="1:18" x14ac:dyDescent="0.35">
      <c r="A2" s="92"/>
      <c r="B2" s="92"/>
      <c r="C2" s="92"/>
      <c r="D2" s="92"/>
      <c r="E2" s="92"/>
      <c r="F2" s="92"/>
      <c r="G2" s="92"/>
      <c r="H2" s="92"/>
      <c r="I2" s="92"/>
      <c r="J2" s="92"/>
      <c r="K2" s="92"/>
      <c r="L2" s="92"/>
      <c r="M2" s="92"/>
      <c r="N2" s="92"/>
    </row>
    <row r="3" spans="1:18" x14ac:dyDescent="0.35">
      <c r="E3" s="4"/>
    </row>
    <row r="4" spans="1:18" x14ac:dyDescent="0.35">
      <c r="A4" s="2" t="s">
        <v>330</v>
      </c>
      <c r="E4" s="4">
        <v>4</v>
      </c>
      <c r="O4" s="5" t="s">
        <v>329</v>
      </c>
    </row>
    <row r="5" spans="1:18" x14ac:dyDescent="0.35">
      <c r="O5" s="5" t="s">
        <v>279</v>
      </c>
    </row>
    <row r="6" spans="1:18" ht="15.5" x14ac:dyDescent="0.35">
      <c r="A6" s="8" t="s">
        <v>331</v>
      </c>
      <c r="J6" s="52" t="str">
        <f>IF(E4=2,O10,IF(E4=3,O9,IF(E4=4,O8,"")))</f>
        <v>&lt;1.4</v>
      </c>
      <c r="K6" s="2" t="s">
        <v>218</v>
      </c>
      <c r="L6" s="38" t="s">
        <v>332</v>
      </c>
      <c r="M6" s="52" t="str">
        <f>IF(E4=2,P10,IF(E4=3,P9,IF(E4=4,P8,"")))</f>
        <v>&lt;55</v>
      </c>
      <c r="N6" s="2" t="s">
        <v>220</v>
      </c>
      <c r="O6" s="5" t="s">
        <v>185</v>
      </c>
    </row>
    <row r="7" spans="1:18" x14ac:dyDescent="0.35">
      <c r="J7" s="53" t="str">
        <f>IF(E4&gt;1,"კლასი I","")</f>
        <v>კლასი I</v>
      </c>
      <c r="M7" s="53" t="str">
        <f>IF(E4&gt;1,"კლასი I","")</f>
        <v>კლასი I</v>
      </c>
    </row>
    <row r="8" spans="1:18" x14ac:dyDescent="0.35">
      <c r="O8" s="5" t="s">
        <v>333</v>
      </c>
      <c r="P8" s="5" t="s">
        <v>334</v>
      </c>
    </row>
    <row r="9" spans="1:18" ht="15.5" x14ac:dyDescent="0.35">
      <c r="A9" s="8" t="s">
        <v>339</v>
      </c>
      <c r="J9" s="52" t="str">
        <f>IF(E4=3,Q9,IF(E4=4,Q10,""))</f>
        <v>&lt;2.2</v>
      </c>
      <c r="K9" s="2" t="s">
        <v>218</v>
      </c>
      <c r="M9" s="52" t="str">
        <f>IF(E4=3,R9,IF(E4=4,R10,""))</f>
        <v>&lt;85</v>
      </c>
      <c r="N9" s="2" t="s">
        <v>220</v>
      </c>
      <c r="O9" s="5" t="s">
        <v>335</v>
      </c>
      <c r="P9" s="5" t="s">
        <v>336</v>
      </c>
      <c r="Q9" s="5" t="s">
        <v>337</v>
      </c>
      <c r="R9" s="5" t="s">
        <v>338</v>
      </c>
    </row>
    <row r="10" spans="1:18" x14ac:dyDescent="0.35">
      <c r="O10" s="5" t="s">
        <v>337</v>
      </c>
      <c r="P10" s="5" t="s">
        <v>338</v>
      </c>
      <c r="Q10" s="5" t="s">
        <v>340</v>
      </c>
      <c r="R10" s="5" t="s">
        <v>341</v>
      </c>
    </row>
    <row r="13" spans="1:18" x14ac:dyDescent="0.35">
      <c r="A13" s="106" t="s">
        <v>343</v>
      </c>
      <c r="B13" s="107"/>
      <c r="C13" s="107"/>
      <c r="D13" s="107"/>
      <c r="E13" s="107"/>
      <c r="F13" s="107"/>
      <c r="G13" s="107"/>
      <c r="H13" s="107"/>
      <c r="I13" s="107"/>
      <c r="J13" s="107"/>
      <c r="K13" s="107"/>
      <c r="L13" s="108"/>
      <c r="M13" s="102" t="s">
        <v>66</v>
      </c>
      <c r="N13" s="103" t="s">
        <v>207</v>
      </c>
    </row>
    <row r="14" spans="1:18" x14ac:dyDescent="0.35">
      <c r="A14" s="109"/>
      <c r="B14" s="110"/>
      <c r="C14" s="110"/>
      <c r="D14" s="110"/>
      <c r="E14" s="110"/>
      <c r="F14" s="110"/>
      <c r="G14" s="110"/>
      <c r="H14" s="110"/>
      <c r="I14" s="110"/>
      <c r="J14" s="110"/>
      <c r="K14" s="110"/>
      <c r="L14" s="111"/>
      <c r="M14" s="102"/>
      <c r="N14" s="103"/>
    </row>
    <row r="15" spans="1:18" x14ac:dyDescent="0.35">
      <c r="A15" s="112"/>
      <c r="B15" s="113"/>
      <c r="C15" s="113"/>
      <c r="D15" s="113"/>
      <c r="E15" s="113"/>
      <c r="F15" s="113"/>
      <c r="G15" s="113"/>
      <c r="H15" s="113"/>
      <c r="I15" s="113"/>
      <c r="J15" s="113"/>
      <c r="K15" s="113"/>
      <c r="L15" s="114"/>
      <c r="M15" s="102"/>
      <c r="N15" s="103"/>
    </row>
    <row r="16" spans="1:18" x14ac:dyDescent="0.35">
      <c r="A16" s="106" t="s">
        <v>342</v>
      </c>
      <c r="B16" s="107"/>
      <c r="C16" s="107"/>
      <c r="D16" s="107"/>
      <c r="E16" s="107"/>
      <c r="F16" s="107"/>
      <c r="G16" s="107"/>
      <c r="H16" s="107"/>
      <c r="I16" s="107"/>
      <c r="J16" s="107"/>
      <c r="K16" s="107"/>
      <c r="L16" s="108"/>
      <c r="M16" s="102" t="s">
        <v>66</v>
      </c>
      <c r="N16" s="101" t="s">
        <v>67</v>
      </c>
    </row>
    <row r="17" spans="1:14" x14ac:dyDescent="0.35">
      <c r="A17" s="109"/>
      <c r="B17" s="110"/>
      <c r="C17" s="110"/>
      <c r="D17" s="110"/>
      <c r="E17" s="110"/>
      <c r="F17" s="110"/>
      <c r="G17" s="110"/>
      <c r="H17" s="110"/>
      <c r="I17" s="110"/>
      <c r="J17" s="110"/>
      <c r="K17" s="110"/>
      <c r="L17" s="111"/>
      <c r="M17" s="102"/>
      <c r="N17" s="101"/>
    </row>
    <row r="18" spans="1:14" x14ac:dyDescent="0.35">
      <c r="A18" s="112"/>
      <c r="B18" s="113"/>
      <c r="C18" s="113"/>
      <c r="D18" s="113"/>
      <c r="E18" s="113"/>
      <c r="F18" s="113"/>
      <c r="G18" s="113"/>
      <c r="H18" s="113"/>
      <c r="I18" s="113"/>
      <c r="J18" s="113"/>
      <c r="K18" s="113"/>
      <c r="L18" s="114"/>
      <c r="M18" s="102"/>
      <c r="N18" s="101"/>
    </row>
    <row r="19" spans="1:14" x14ac:dyDescent="0.35">
      <c r="A19" s="106" t="s">
        <v>211</v>
      </c>
      <c r="B19" s="107"/>
      <c r="C19" s="107"/>
      <c r="D19" s="107"/>
      <c r="E19" s="107"/>
      <c r="F19" s="107"/>
      <c r="G19" s="107"/>
      <c r="H19" s="107"/>
      <c r="I19" s="107"/>
      <c r="J19" s="107"/>
      <c r="K19" s="107"/>
      <c r="L19" s="108"/>
      <c r="M19" s="100" t="s">
        <v>208</v>
      </c>
      <c r="N19" s="101" t="s">
        <v>67</v>
      </c>
    </row>
    <row r="20" spans="1:14" x14ac:dyDescent="0.35">
      <c r="A20" s="109"/>
      <c r="B20" s="110"/>
      <c r="C20" s="110"/>
      <c r="D20" s="110"/>
      <c r="E20" s="110"/>
      <c r="F20" s="110"/>
      <c r="G20" s="110"/>
      <c r="H20" s="110"/>
      <c r="I20" s="110"/>
      <c r="J20" s="110"/>
      <c r="K20" s="110"/>
      <c r="L20" s="111"/>
      <c r="M20" s="100"/>
      <c r="N20" s="101"/>
    </row>
    <row r="21" spans="1:14" x14ac:dyDescent="0.35">
      <c r="A21" s="112"/>
      <c r="B21" s="113"/>
      <c r="C21" s="113"/>
      <c r="D21" s="113"/>
      <c r="E21" s="113"/>
      <c r="F21" s="113"/>
      <c r="G21" s="113"/>
      <c r="H21" s="113"/>
      <c r="I21" s="113"/>
      <c r="J21" s="113"/>
      <c r="K21" s="113"/>
      <c r="L21" s="114"/>
      <c r="M21" s="100"/>
      <c r="N21" s="101"/>
    </row>
    <row r="22" spans="1:14" x14ac:dyDescent="0.35">
      <c r="A22" s="106" t="s">
        <v>212</v>
      </c>
      <c r="B22" s="107"/>
      <c r="C22" s="107"/>
      <c r="D22" s="107"/>
      <c r="E22" s="107"/>
      <c r="F22" s="107"/>
      <c r="G22" s="107"/>
      <c r="H22" s="107"/>
      <c r="I22" s="107"/>
      <c r="J22" s="107"/>
      <c r="K22" s="107"/>
      <c r="L22" s="108"/>
      <c r="M22" s="100" t="s">
        <v>208</v>
      </c>
      <c r="N22" s="104" t="s">
        <v>210</v>
      </c>
    </row>
    <row r="23" spans="1:14" x14ac:dyDescent="0.35">
      <c r="A23" s="109"/>
      <c r="B23" s="110"/>
      <c r="C23" s="110"/>
      <c r="D23" s="110"/>
      <c r="E23" s="110"/>
      <c r="F23" s="110"/>
      <c r="G23" s="110"/>
      <c r="H23" s="110"/>
      <c r="I23" s="110"/>
      <c r="J23" s="110"/>
      <c r="K23" s="110"/>
      <c r="L23" s="111"/>
      <c r="M23" s="100"/>
      <c r="N23" s="104"/>
    </row>
    <row r="24" spans="1:14" x14ac:dyDescent="0.35">
      <c r="A24" s="112"/>
      <c r="B24" s="113"/>
      <c r="C24" s="113"/>
      <c r="D24" s="113"/>
      <c r="E24" s="113"/>
      <c r="F24" s="113"/>
      <c r="G24" s="113"/>
      <c r="H24" s="113"/>
      <c r="I24" s="113"/>
      <c r="J24" s="113"/>
      <c r="K24" s="113"/>
      <c r="L24" s="114"/>
      <c r="M24" s="100"/>
      <c r="N24" s="104"/>
    </row>
    <row r="25" spans="1:14" x14ac:dyDescent="0.35">
      <c r="A25" s="106" t="s">
        <v>213</v>
      </c>
      <c r="B25" s="107"/>
      <c r="C25" s="107"/>
      <c r="D25" s="107"/>
      <c r="E25" s="107"/>
      <c r="F25" s="107"/>
      <c r="G25" s="107"/>
      <c r="H25" s="107"/>
      <c r="I25" s="107"/>
      <c r="J25" s="107"/>
      <c r="K25" s="107"/>
      <c r="L25" s="108"/>
      <c r="M25" s="105" t="s">
        <v>209</v>
      </c>
      <c r="N25" s="101" t="s">
        <v>67</v>
      </c>
    </row>
    <row r="26" spans="1:14" x14ac:dyDescent="0.35">
      <c r="A26" s="109"/>
      <c r="B26" s="110"/>
      <c r="C26" s="110"/>
      <c r="D26" s="110"/>
      <c r="E26" s="110"/>
      <c r="F26" s="110"/>
      <c r="G26" s="110"/>
      <c r="H26" s="110"/>
      <c r="I26" s="110"/>
      <c r="J26" s="110"/>
      <c r="K26" s="110"/>
      <c r="L26" s="111"/>
      <c r="M26" s="105"/>
      <c r="N26" s="101"/>
    </row>
    <row r="27" spans="1:14" x14ac:dyDescent="0.35">
      <c r="A27" s="112"/>
      <c r="B27" s="113"/>
      <c r="C27" s="113"/>
      <c r="D27" s="113"/>
      <c r="E27" s="113"/>
      <c r="F27" s="113"/>
      <c r="G27" s="113"/>
      <c r="H27" s="113"/>
      <c r="I27" s="113"/>
      <c r="J27" s="113"/>
      <c r="K27" s="113"/>
      <c r="L27" s="114"/>
      <c r="M27" s="105"/>
      <c r="N27" s="101"/>
    </row>
  </sheetData>
  <sheetProtection algorithmName="SHA-512" hashValue="ud8P4TAuaahmbaBOa1N+5Ij9VGKpuympyeul1wxtMNjbwpmSNhLvwVf1HDJM1ebMRBiu4dwmQrNndoQbon/5OA==" saltValue="KofU8nqGNEneWTXkv2whdA==" spinCount="100000" sheet="1" objects="1" scenarios="1"/>
  <mergeCells count="16">
    <mergeCell ref="A1:N2"/>
    <mergeCell ref="A16:L18"/>
    <mergeCell ref="M16:M18"/>
    <mergeCell ref="N16:N18"/>
    <mergeCell ref="A19:L21"/>
    <mergeCell ref="M19:M21"/>
    <mergeCell ref="N19:N21"/>
    <mergeCell ref="A13:L15"/>
    <mergeCell ref="M13:M15"/>
    <mergeCell ref="N13:N15"/>
    <mergeCell ref="A22:L24"/>
    <mergeCell ref="M22:M24"/>
    <mergeCell ref="N22:N24"/>
    <mergeCell ref="A25:L27"/>
    <mergeCell ref="M25:M27"/>
    <mergeCell ref="N25:N27"/>
  </mergeCells>
  <conditionalFormatting sqref="J6 M6">
    <cfRule type="notContainsBlanks" dxfId="48" priority="2">
      <formula>LEN(TRIM(J6))&gt;0</formula>
    </cfRule>
  </conditionalFormatting>
  <conditionalFormatting sqref="J9 M9">
    <cfRule type="notContainsBlanks" dxfId="47" priority="1">
      <formula>LEN(TRIM(J9))&gt;0</formula>
    </cfRule>
  </conditionalFormatting>
  <hyperlinks>
    <hyperlink ref="A1:N2" location="Main!A1" display="კლინიკური მიდგომა და საკვანძო რეკომენდაციები" xr:uid="{0D0DD1C8-F68C-40B1-9819-38218F9A641B}"/>
    <hyperlink ref="M16:M18" location="Evidence!A1" display="I" xr:uid="{29398897-1527-4C82-B412-789DCBDE475E}"/>
    <hyperlink ref="M19:M21" location="Evidence!A1" display="I" xr:uid="{95304B08-0A8C-47C3-9FAC-658736B91D24}"/>
    <hyperlink ref="N22:N24" location="Evidence!A1" display="B" xr:uid="{0F095DAB-0D7D-4CF4-A4DF-85D020DDEB89}"/>
    <hyperlink ref="M22:M24" location="Evidence!A1" display="I" xr:uid="{250FDF32-0EF6-42ED-849E-7094C2EBD6DF}"/>
    <hyperlink ref="M25:M27" location="Evidence!A1" display="I" xr:uid="{0C821D3B-23ED-44DD-A473-BF191771534C}"/>
    <hyperlink ref="N16:N18" location="Evidence!A1" display="B" xr:uid="{592390F3-3E94-442C-BCAF-73DA8F861D8D}"/>
    <hyperlink ref="N19:N21" location="Evidence!A1" display="B" xr:uid="{390F067F-383F-4BA8-8E20-05BC0A034687}"/>
    <hyperlink ref="N25:N27" location="Evidence!A1" display="B" xr:uid="{DEAE4C56-3CE0-4900-A0CD-B9C86C38E604}"/>
    <hyperlink ref="M13:M15" location="Evidence!A1" display="I" xr:uid="{7ACD2E05-24EF-4014-B7BF-AB13494E01A0}"/>
    <hyperlink ref="N13:N15" location="Evidence!A1" display="B" xr:uid="{10CDD705-F398-4C36-94D9-055C0715F925}"/>
  </hyperlinks>
  <pageMargins left="0.7" right="0.7" top="0.75" bottom="0.75" header="0.3" footer="0.3"/>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4</xdr:col>
                    <xdr:colOff>0</xdr:colOff>
                    <xdr:row>3</xdr:row>
                    <xdr:rowOff>0</xdr:rowOff>
                  </from>
                  <to>
                    <xdr:col>6</xdr:col>
                    <xdr:colOff>241300</xdr:colOff>
                    <xdr:row>3</xdr:row>
                    <xdr:rowOff>165100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Main</vt:lpstr>
      <vt:lpstr>Evidence</vt:lpstr>
      <vt:lpstr>Key</vt:lpstr>
      <vt:lpstr>SCORE2-Diabetes</vt:lpstr>
      <vt:lpstr>TOD</vt:lpstr>
      <vt:lpstr>Diagnosis</vt:lpstr>
      <vt:lpstr>Hypoglycemic</vt:lpstr>
      <vt:lpstr>Hypertension</vt:lpstr>
      <vt:lpstr>Lipids</vt:lpstr>
      <vt:lpstr>Antithrombotic</vt:lpstr>
      <vt:lpstr>CAD</vt:lpstr>
      <vt:lpstr>HF</vt:lpstr>
      <vt:lpstr>Arrhythmia</vt:lpstr>
      <vt:lpstr>CHA2DS2VASc</vt:lpstr>
      <vt:lpstr>CKD</vt:lpstr>
      <vt:lpstr>LEAD</vt:lpstr>
      <vt:lpstr>T1DM</vt:lpstr>
      <vt:lpstr>calculator</vt:lpstr>
      <vt:lpstr>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Kakhaber</cp:lastModifiedBy>
  <cp:lastPrinted>2023-09-13T08:42:46Z</cp:lastPrinted>
  <dcterms:created xsi:type="dcterms:W3CDTF">2023-08-30T05:21:46Z</dcterms:created>
  <dcterms:modified xsi:type="dcterms:W3CDTF">2023-10-13T19:25:23Z</dcterms:modified>
</cp:coreProperties>
</file>